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Reseau_thermie_Lac_ONEMA\2_Materiel\Estimation_qté_poids\"/>
    </mc:Choice>
  </mc:AlternateContent>
  <bookViews>
    <workbookView xWindow="-15" yWindow="-15" windowWidth="25230" windowHeight="12870" tabRatio="759" activeTab="1"/>
  </bookViews>
  <sheets>
    <sheet name="notes" sheetId="2" r:id="rId1"/>
    <sheet name="calcul_mouillage_thermie" sheetId="1" r:id="rId2"/>
    <sheet name="hypolimnion" sheetId="9" r:id="rId3"/>
  </sheets>
  <calcPr calcId="162913"/>
</workbook>
</file>

<file path=xl/calcChain.xml><?xml version="1.0" encoding="utf-8"?>
<calcChain xmlns="http://schemas.openxmlformats.org/spreadsheetml/2006/main">
  <c r="I26" i="1" l="1"/>
  <c r="I27" i="1"/>
  <c r="I25" i="1"/>
  <c r="L25" i="1" s="1"/>
  <c r="L11" i="1"/>
  <c r="L12" i="1"/>
  <c r="L17" i="1"/>
  <c r="L19" i="1"/>
  <c r="L23" i="1"/>
  <c r="L24" i="1"/>
  <c r="L31" i="1"/>
  <c r="L35" i="1"/>
  <c r="L36" i="1"/>
  <c r="I22" i="1" l="1"/>
  <c r="L22" i="1" s="1"/>
  <c r="I38" i="1" l="1"/>
  <c r="L38" i="1" s="1"/>
  <c r="I31" i="1"/>
  <c r="J22" i="1" l="1"/>
  <c r="I10" i="1"/>
  <c r="I9" i="1"/>
  <c r="I11" i="1"/>
  <c r="K11" i="1" s="1"/>
  <c r="I12" i="1"/>
  <c r="K12" i="1" s="1"/>
  <c r="I17" i="1"/>
  <c r="K17" i="1" s="1"/>
  <c r="I19" i="1"/>
  <c r="J19" i="1" s="1"/>
  <c r="I23" i="1"/>
  <c r="J23" i="1" s="1"/>
  <c r="I24" i="1"/>
  <c r="J24" i="1" s="1"/>
  <c r="J25" i="1"/>
  <c r="L26" i="1"/>
  <c r="J31" i="1"/>
  <c r="I32" i="1"/>
  <c r="I35" i="1"/>
  <c r="J35" i="1" s="1"/>
  <c r="I36" i="1"/>
  <c r="J36" i="1" s="1"/>
  <c r="I37" i="1"/>
  <c r="L37" i="1" s="1"/>
  <c r="J38" i="1"/>
  <c r="J32" i="1" l="1"/>
  <c r="L32" i="1"/>
  <c r="J37" i="1"/>
  <c r="I14" i="1"/>
  <c r="L14" i="1" s="1"/>
  <c r="L9" i="1"/>
  <c r="K10" i="1"/>
  <c r="L10" i="1"/>
  <c r="J27" i="1"/>
  <c r="L27" i="1"/>
  <c r="K38" i="1"/>
  <c r="I29" i="1"/>
  <c r="K29" i="1" s="1"/>
  <c r="K36" i="1"/>
  <c r="K35" i="1"/>
  <c r="K37" i="1"/>
  <c r="K32" i="1"/>
  <c r="J17" i="1"/>
  <c r="K24" i="1"/>
  <c r="K19" i="1"/>
  <c r="J12" i="1"/>
  <c r="K31" i="1"/>
  <c r="K27" i="1"/>
  <c r="K23" i="1"/>
  <c r="I34" i="1"/>
  <c r="L34" i="1" s="1"/>
  <c r="K14" i="1"/>
  <c r="J14" i="1"/>
  <c r="J11" i="1"/>
  <c r="J10" i="1"/>
  <c r="I33" i="1"/>
  <c r="L33" i="1" s="1"/>
  <c r="K25" i="1"/>
  <c r="K22" i="1"/>
  <c r="I20" i="1"/>
  <c r="L20" i="1" s="1"/>
  <c r="K26" i="1"/>
  <c r="I21" i="1"/>
  <c r="L21" i="1" s="1"/>
  <c r="I18" i="1"/>
  <c r="L18" i="1" s="1"/>
  <c r="J26" i="1"/>
  <c r="I15" i="1"/>
  <c r="L15" i="1" s="1"/>
  <c r="I13" i="1"/>
  <c r="L13" i="1" s="1"/>
  <c r="I16" i="1"/>
  <c r="L16" i="1" s="1"/>
  <c r="I28" i="1"/>
  <c r="L28" i="1" s="1"/>
  <c r="I30" i="1"/>
  <c r="L30" i="1" s="1"/>
  <c r="J29" i="1" l="1"/>
  <c r="L29" i="1"/>
  <c r="L40" i="1" s="1"/>
  <c r="J34" i="1"/>
  <c r="K34" i="1"/>
  <c r="K16" i="1"/>
  <c r="J16" i="1"/>
  <c r="J18" i="1"/>
  <c r="K18" i="1"/>
  <c r="J28" i="1"/>
  <c r="K28" i="1"/>
  <c r="K13" i="1"/>
  <c r="J13" i="1"/>
  <c r="K21" i="1"/>
  <c r="J21" i="1"/>
  <c r="K33" i="1"/>
  <c r="J33" i="1"/>
  <c r="J30" i="1"/>
  <c r="K30" i="1"/>
  <c r="J15" i="1"/>
  <c r="K15" i="1"/>
  <c r="J20" i="1"/>
  <c r="K20" i="1"/>
  <c r="J9" i="1"/>
  <c r="K9" i="1"/>
  <c r="H45" i="2"/>
  <c r="K49" i="2" l="1"/>
  <c r="A57" i="2" l="1"/>
  <c r="A55" i="2"/>
  <c r="F77" i="2"/>
  <c r="J43" i="1" l="1"/>
  <c r="K43" i="1"/>
  <c r="D5" i="9" l="1"/>
  <c r="E5" i="9" s="1"/>
  <c r="F5" i="9" s="1"/>
  <c r="D4" i="9"/>
  <c r="E4" i="9" s="1"/>
  <c r="F4" i="9" s="1"/>
  <c r="D3" i="9"/>
  <c r="E3" i="9" s="1"/>
  <c r="F3" i="9" s="1"/>
  <c r="K41" i="1"/>
  <c r="K42" i="1" s="1"/>
  <c r="J48" i="1" s="1"/>
  <c r="J41" i="1"/>
  <c r="J42" i="1" s="1"/>
  <c r="J49" i="1" l="1"/>
  <c r="J44" i="1"/>
  <c r="J45" i="1" s="1"/>
</calcChain>
</file>

<file path=xl/sharedStrings.xml><?xml version="1.0" encoding="utf-8"?>
<sst xmlns="http://schemas.openxmlformats.org/spreadsheetml/2006/main" count="320" uniqueCount="172">
  <si>
    <t>diff poids théorique-poids réel</t>
  </si>
  <si>
    <t>résultante</t>
  </si>
  <si>
    <t>poids réel sans bouée et corps mort</t>
  </si>
  <si>
    <t>pce</t>
  </si>
  <si>
    <t>mesuré</t>
  </si>
  <si>
    <t>pesé</t>
  </si>
  <si>
    <t>ml</t>
  </si>
  <si>
    <t>étrier de selle inox</t>
  </si>
  <si>
    <t>bouée sub-surface</t>
  </si>
  <si>
    <t>constructeur</t>
  </si>
  <si>
    <t>m/rho inox</t>
  </si>
  <si>
    <t>Nb/longueur</t>
  </si>
  <si>
    <t>Unité</t>
  </si>
  <si>
    <t>Marnage (m)</t>
  </si>
  <si>
    <t>Phypo (m)</t>
  </si>
  <si>
    <t>Pmax (m)</t>
  </si>
  <si>
    <t>Infos</t>
  </si>
  <si>
    <t>Câble A</t>
  </si>
  <si>
    <t>Câble B</t>
  </si>
  <si>
    <t>Corps mort</t>
  </si>
  <si>
    <t>Bouée</t>
  </si>
  <si>
    <t>Pa poussé d'Archimède Pa = ρ . Vd . g</t>
  </si>
  <si>
    <t>P: force de gravité =m . g</t>
  </si>
  <si>
    <t>g=9.81 N/kg</t>
  </si>
  <si>
    <r>
      <rPr>
        <sz val="11"/>
        <color theme="1"/>
        <rFont val="Calibri"/>
        <family val="2"/>
      </rPr>
      <t>ρ</t>
    </r>
    <r>
      <rPr>
        <sz val="11"/>
        <color theme="1"/>
        <rFont val="Garamond"/>
        <family val="2"/>
        <scheme val="minor"/>
      </rPr>
      <t>: masse volumique du liquide, ici de l'eau dont la valeur à 4°C = 1g/cm3 ou 1000kg/m3</t>
    </r>
  </si>
  <si>
    <t>Vd: volume de d'eau déplacé par un objet</t>
  </si>
  <si>
    <t>à l'équilibre on a Pa = P</t>
  </si>
  <si>
    <t>Vd . ρ . g = mx g</t>
  </si>
  <si>
    <t>Vd . ρ = m</t>
  </si>
  <si>
    <t>objet à l'équilibre</t>
  </si>
  <si>
    <t>si Vd . ρ &gt; m</t>
  </si>
  <si>
    <t>objet flotte</t>
  </si>
  <si>
    <t>si Vd . ρ &lt; m</t>
  </si>
  <si>
    <t>objet coule</t>
  </si>
  <si>
    <t>ρ_pvc</t>
  </si>
  <si>
    <t>masse volumique (g/cm3)</t>
  </si>
  <si>
    <t>estimation</t>
  </si>
  <si>
    <t>Eléments</t>
  </si>
  <si>
    <t>h=3cm</t>
  </si>
  <si>
    <t>Allos</t>
  </si>
  <si>
    <t>enregistreur de témpérature épilimnion</t>
  </si>
  <si>
    <t>enregistreur de témpérature hypolimnion</t>
  </si>
  <si>
    <t>Pmax</t>
  </si>
  <si>
    <t>profondeur maximale</t>
  </si>
  <si>
    <t>Prix (€, HT)</t>
  </si>
  <si>
    <t>Généralités</t>
  </si>
  <si>
    <t>on ne prend pas en compte le corps mort car repose sur le fond du lac pour calculer la flottabilité suffisante pour que la bouée ne coule pas</t>
  </si>
  <si>
    <t>Calcul de la valeur de l'hypolimnion, onglet "hypolimnion"</t>
  </si>
  <si>
    <t>Lac</t>
  </si>
  <si>
    <t>Surface (km²)</t>
  </si>
  <si>
    <t>Dcrit</t>
  </si>
  <si>
    <t>valeur du sommet de l'hypolimnion à l'optimum thermique estival selon formule de Hakanson 2004</t>
  </si>
  <si>
    <t>2 fois la valeur calculée dans la colone précédente</t>
  </si>
  <si>
    <t>Foréant</t>
  </si>
  <si>
    <t>M_g</t>
  </si>
  <si>
    <t>V _cm3</t>
  </si>
  <si>
    <t>M_kg /V_L avec bouée</t>
  </si>
  <si>
    <t>M_kg /V_L sans bouée</t>
  </si>
  <si>
    <t>Résultante_kg (M-V sans bouée)</t>
  </si>
  <si>
    <t>chambre à air</t>
  </si>
  <si>
    <t>plaquette informative</t>
  </si>
  <si>
    <t xml:space="preserve">mousqueton inox à œil  Ø 8 mm </t>
  </si>
  <si>
    <t>cadenas étanche</t>
  </si>
  <si>
    <t>serre-câble à étrier inox</t>
  </si>
  <si>
    <t xml:space="preserve">collier colson </t>
  </si>
  <si>
    <t>disque de fonte 1 kg</t>
  </si>
  <si>
    <t>disque de fonte 20/30 kg</t>
  </si>
  <si>
    <t>câble inox gainé Ø 3/4 mm</t>
  </si>
  <si>
    <t>M_unit_ g</t>
  </si>
  <si>
    <t>V_unit_cm3</t>
  </si>
  <si>
    <t>chaine inox Ø 5 mm</t>
  </si>
  <si>
    <t>anneau brisé inox Ø 22 mm</t>
  </si>
  <si>
    <t>profondeur maximale en mètre</t>
  </si>
  <si>
    <t>masse d'une unité en gramme</t>
  </si>
  <si>
    <t>volume d'une unité en centimètre cube</t>
  </si>
  <si>
    <t>masse en kilogramme</t>
  </si>
  <si>
    <t>volume en litre</t>
  </si>
  <si>
    <t>M_kg</t>
  </si>
  <si>
    <t>V_L</t>
  </si>
  <si>
    <t>Obtention</t>
  </si>
  <si>
    <t>M_kg/V_L bouée</t>
  </si>
  <si>
    <t>Vent  (0 ou 1)</t>
  </si>
  <si>
    <t>Détail pour calculer la quantité de chaque élément constituant le mouillage thermie, onglet "calcul_mouillage_thermie"</t>
  </si>
  <si>
    <t>Coeff de sécurité 30%_kg</t>
  </si>
  <si>
    <t>enregistreur de température épilimnion</t>
  </si>
  <si>
    <t>enregistreur de température hypolimnion</t>
  </si>
  <si>
    <t>Phypo th OT</t>
  </si>
  <si>
    <t>2 x Phypo th OT</t>
  </si>
  <si>
    <t>PHypoMmax</t>
  </si>
  <si>
    <t>Bresses inférieur</t>
  </si>
  <si>
    <t>NA</t>
  </si>
  <si>
    <t>Bresses supérieur</t>
  </si>
  <si>
    <t>Cette valeur n'est utile que pour les lacs dont la profondeur est supérieure ou égale à 10 m. On utilise la valeur maximale observée qui est souvent obtenue en autome lorsque la thermocline s'enfonce. Cette valeur est obtenue:
- à partir de données existantes. On la déduit visuellement sur des profils mensuels (ou journaliers) ou avec le package "rLakeAnalyser" sour R qui la calcule directement;
- en prenant 2 fois la valeur théorique à l'optimum thermique estival selon la formule de Hakanson (cf. rapport 2013)</t>
  </si>
  <si>
    <t>profondeur critique selon Hakanson</t>
  </si>
  <si>
    <t>Phpo</t>
  </si>
  <si>
    <t>profondeur de l'hypolimnion</t>
  </si>
  <si>
    <t>th</t>
  </si>
  <si>
    <t>OT</t>
  </si>
  <si>
    <t>théorique</t>
  </si>
  <si>
    <t>optimum thermique estival</t>
  </si>
  <si>
    <t>profondeur de l'hypolimnion mensuelle maximale</t>
  </si>
  <si>
    <t>disque de fonte 20/30 kg evec disques de 5kg</t>
  </si>
  <si>
    <t xml:space="preserve">bouée surface </t>
  </si>
  <si>
    <t>47.05 (40L) ou 55.52 (64L)</t>
  </si>
  <si>
    <t>mouillage thermie type</t>
  </si>
  <si>
    <t>mouillage marnage</t>
  </si>
  <si>
    <t>mouillage attrait paysager</t>
  </si>
  <si>
    <t>si mouillage attrait paysager : 1</t>
  </si>
  <si>
    <t xml:space="preserve">si mouillage thermie type ou mouillage marnage : Pmax - Mmax + 0.5 
si mouillage attrait paysager : Pmax - Hauteur bouée </t>
  </si>
  <si>
    <t xml:space="preserve">si mouillage thermie type : 2
si mouillage marnage : Mmax + 4
si mouillage attrait paysager : 0 </t>
  </si>
  <si>
    <t>si mouillage thermie type ou mouillage marnage : 1</t>
  </si>
  <si>
    <t>6 + nb enregistreurs câble B</t>
  </si>
  <si>
    <t>Vandalisme  (0 ou 1)</t>
  </si>
  <si>
    <t>4 à 6</t>
  </si>
  <si>
    <t>at</t>
  </si>
  <si>
    <t>nb enregistreurs sur câble B x 2</t>
  </si>
  <si>
    <t>nb enregistreurs sur câble B x 0.03 m</t>
  </si>
  <si>
    <t>nb enregistreurs sur câble B</t>
  </si>
  <si>
    <t>si mouillage thermie type ou mouillage marnage ET Pmax &lt; 10 m :  arrondi inférieur (Pmax (m) – Mmax (m)) 
si mouillage thermie type ou mouillage marnage ET 10 m &lt;=Pmax &lt; 55 m : arrondi inférieur (Phypo (m) + 0,5 m)
si mouillage thermie type ou mouillage marnage ET Pmax &gt;= 55 m : arrondi supérieur (Phypo  (m) / 2 + 0,5  m) 
si mouillage attrait paysager ET Pmax &lt; 10 m :  arrondi inférieur (Pmax) - 1 
si mouillage attrait paysager ET 10 m &lt;=Pmax &lt; 55 m : arrondi inférieur (Phypo (m) + 0,5 m) - 1
si mouillage attrait paysager ET Pmax &gt;= 55 m : arrondi supérieur (Phypo  (m) / 2 + 0,5  m)  - 1</t>
  </si>
  <si>
    <t>si Pmax &lt; 10 m : 0
si mouillage thermie type OU mouillage attrait paysager ET Pmax &gt; 10 m ET Pmax - 0.5 - Phypo &lt; 4 : 1
si mouillage thermie type OU mouillage attrait paysager ET Pmax &gt; 10 m ET Pmax - 0.5 - Phypo &gt;= 4 : arrondi inférieur ((Pmax (m) – 0,5 m – Phypo (m)) / 4)
si mouillage marnage ET Pmax &gt; 10 m ET Pmax - Mmax - Phypo &lt; 4 : 1
si mouillage marnage ET Pmax &gt; 10 m ET Pmax - Mmax - Phypo &gt;= 4 : arrondi inférieur ((Pmax (m) – Mmax (m) - Phypo) / 4)</t>
  </si>
  <si>
    <t xml:space="preserve">si Pmax &lt; 10 m : enregistreurs épilimnion câble B  + 0.5 m (surplus pour boucles)
si mouillage thermie type OU mouillage attrait paysager ET Pmax &gt;= 10 m ET Pmax - 0.5 m - Phypo &lt; 4 : Pmax (m)
si mouillage thermie type OU mouillage attrait paysager ET 10 m &gt;= Pmax &lt; 55 m ET Pmax - 0.5 m - Phypo &gt;= 4 : enregistreurs épilimnion câble B + enregistreurs hypolimnion x 4 + 0.5 m (surplus pour boucles)
si mouillage thermie type OU mouillage attrait paysager ET Pmax &gt;= 55 m ET Pmax - 0.5 m - Phypo &gt;= 4 : enregistreurs épilimnion câble B x 2 + enregistreurs hypolimnion x 4 + 0.5 m (surplus pour boucles) 
si mouillage marnage ET Pmax &gt;= 10 m ET Pmax - Mmax - Phypo &lt; 4 : Pmax (m) – Mmax (m) + 0,5 m
si mouillage marnage ET 10 m &gt;= Pmax &lt; 55 m ET Pmax - Mmax - Phypo &gt;= 4 : enregistreurs épilimnion + enregistreurs hypolimnion x 4 + 0.5 (surplus pour boucles)
si mouillage marnage ET Pmax &gt;= 55 m ET Pmax - Mmax - Phypo &gt;= 4 : enregistreurs épilimnion x 2 + enregistreurs hypolimnion x 4 + 0,5m (surplus pour boucles) </t>
  </si>
  <si>
    <t>Définition</t>
  </si>
  <si>
    <t>Abréviation</t>
  </si>
  <si>
    <t>mouillage thermie pour plan soumis à des fluctuations du niveau d’eau</t>
  </si>
  <si>
    <t>mouillage thermie pour plan d’eau à fort attrait paysager (sans fluctuations du niveau d’eau)</t>
  </si>
  <si>
    <t>valeur maximales des fluctuations du niveau d'eau en mètre</t>
  </si>
  <si>
    <t>profondeur hypolimnion en mètre
La valeur de l'hypolimnion est la valeur maximale observée sur l'année (en général à l'autome). Elle est obtenue à partir de données existantes sinon en prenant 2 fois la valeur théorique tel que défini par Hakanson (cf. onget "hypolimnion".</t>
  </si>
  <si>
    <t>&gt;0</t>
  </si>
  <si>
    <t xml:space="preserve">Définition des 3 types de mouillages à partir des informations(en gras) contenues dans les cases à remplir </t>
  </si>
  <si>
    <r>
      <t>6 (</t>
    </r>
    <r>
      <rPr>
        <i/>
        <sz val="11"/>
        <color rgb="FF000000"/>
        <rFont val="Garamond"/>
        <family val="1"/>
        <scheme val="major"/>
      </rPr>
      <t>boucles câble B</t>
    </r>
    <r>
      <rPr>
        <sz val="11"/>
        <color rgb="FF000000"/>
        <rFont val="Garamond"/>
        <family val="1"/>
        <scheme val="major"/>
      </rPr>
      <t>) + nombre de sondes</t>
    </r>
  </si>
  <si>
    <t>Méthode pour calculer les quantités de chaque élément du mouillage thermie</t>
  </si>
  <si>
    <t>Toutes les cases en bleue doivent être remplies pour lancer les calculs</t>
  </si>
  <si>
    <t>Attrait paysager   (0 ou 1)</t>
  </si>
  <si>
    <t>prix avec cable</t>
  </si>
  <si>
    <t>prix avec chaine</t>
  </si>
  <si>
    <t>manille inox Ø 5 mm</t>
  </si>
  <si>
    <t>5 m</t>
  </si>
  <si>
    <t>prix unitaire ou au mètre</t>
  </si>
  <si>
    <t>112 euro HT en 2018</t>
  </si>
  <si>
    <t>1m</t>
  </si>
  <si>
    <t>Bouée de sub surface</t>
  </si>
  <si>
    <t>112 (HT en 2018)</t>
  </si>
  <si>
    <t>manille lyre à vis 6 pans Ø 8 mm</t>
  </si>
  <si>
    <t xml:space="preserve">manille inox Ø 6 mm </t>
  </si>
  <si>
    <t xml:space="preserve">manille inox  Ø 6 mm </t>
  </si>
  <si>
    <t>descendeur d'escalade inox ou anneau ecrou M16</t>
  </si>
  <si>
    <t>manille lyre inox à vis 6 pans Ø 8 mm</t>
  </si>
  <si>
    <t xml:space="preserve">0.5m si bouée de surface 1,5 m si bouée de sub-surface </t>
  </si>
  <si>
    <t>2 fois la hauteur de la bouée (m) + 0.1m de surplus</t>
  </si>
  <si>
    <t>ecrou anneau M16</t>
  </si>
  <si>
    <t>8 d'assurage (escalade) en inox</t>
  </si>
  <si>
    <t xml:space="preserve">émerillon-manille inox Ø 5 mm </t>
  </si>
  <si>
    <t>Nom du Lac</t>
  </si>
  <si>
    <t>Case bleue = case à remplir</t>
  </si>
  <si>
    <t>valeur du sommet de l'hypolimnion maximale obtenue à partir des données du RCS et le package rLakeAnalyser</t>
  </si>
  <si>
    <t>1 pour maintenir l'étrier bien droit</t>
  </si>
  <si>
    <t>1 (apporte un assurage supplémentaire de l'étrier sous la bouée et évite le vendalisme)</t>
  </si>
  <si>
    <t>2 (pour plaquette) + 4  pour enregisteur si bouée de sub-surface</t>
  </si>
  <si>
    <t>1 descendeur d'escalade en 8 si diametre de cheminée &gt; 50mm, anneau ecrou M16 (diametre total 56mm) si diametre cheminée &lt; 50mm</t>
  </si>
  <si>
    <t>1 si bouée de sub-surface</t>
  </si>
  <si>
    <t>1 (pour relier le cable A à la chaine)</t>
  </si>
  <si>
    <t xml:space="preserve">mousqueton inox Ø 6 mm </t>
  </si>
  <si>
    <t xml:space="preserve">mousqueton inox  Ø 6 mm </t>
  </si>
  <si>
    <t>si bouée de sub-surface  1 (pour acrocher le thermometre à 0.5m)</t>
  </si>
  <si>
    <t>1 si risque de vandalisme</t>
  </si>
  <si>
    <t>0.5m si mouillage attrait paysager (si non la chaine fait partie du cable A)</t>
  </si>
  <si>
    <t>1 si marnage (si pas de marnage : émerillon-manille du cable A sert a fermer la chaine autour des disques de fonte)</t>
  </si>
  <si>
    <t>manille inox Ø 6 mm</t>
  </si>
  <si>
    <t>paire</t>
  </si>
  <si>
    <t>Prix</t>
  </si>
  <si>
    <t>somme</t>
  </si>
  <si>
    <t>prix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</si>
</sst>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Garamond"/>
      <family val="2"/>
      <scheme val="minor"/>
    </font>
    <font>
      <b/>
      <sz val="11"/>
      <color theme="1"/>
      <name val="Garamond"/>
      <family val="1"/>
      <scheme val="minor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sz val="11"/>
      <color theme="1"/>
      <name val="Calibri"/>
      <family val="2"/>
    </font>
    <font>
      <sz val="11"/>
      <color rgb="FFFF0000"/>
      <name val="Garamond"/>
      <family val="2"/>
      <scheme val="minor"/>
    </font>
    <font>
      <b/>
      <sz val="12"/>
      <color theme="1"/>
      <name val="Garamond"/>
      <family val="2"/>
      <scheme val="minor"/>
    </font>
    <font>
      <sz val="12"/>
      <color theme="1"/>
      <name val="Garamond"/>
      <family val="2"/>
      <scheme val="minor"/>
    </font>
    <font>
      <sz val="11"/>
      <color theme="1"/>
      <name val="Garamond"/>
      <family val="1"/>
      <scheme val="major"/>
    </font>
    <font>
      <b/>
      <sz val="11"/>
      <name val="Garamond"/>
      <family val="1"/>
      <scheme val="major"/>
    </font>
    <font>
      <b/>
      <sz val="11"/>
      <color theme="1"/>
      <name val="Garamond"/>
      <family val="1"/>
      <scheme val="major"/>
    </font>
    <font>
      <b/>
      <sz val="11"/>
      <color theme="3" tint="-0.249977111117893"/>
      <name val="Garamond"/>
      <family val="1"/>
      <scheme val="major"/>
    </font>
    <font>
      <sz val="11"/>
      <name val="Garamond"/>
      <family val="1"/>
      <scheme val="major"/>
    </font>
    <font>
      <i/>
      <sz val="11"/>
      <name val="Garamond"/>
      <family val="1"/>
      <scheme val="major"/>
    </font>
    <font>
      <b/>
      <sz val="11"/>
      <color rgb="FFFF0000"/>
      <name val="Garamond"/>
      <family val="1"/>
      <scheme val="major"/>
    </font>
    <font>
      <sz val="11"/>
      <color theme="3" tint="-0.249977111117893"/>
      <name val="Garamond"/>
      <family val="1"/>
      <scheme val="major"/>
    </font>
    <font>
      <sz val="12"/>
      <color theme="1"/>
      <name val="Garamond"/>
      <family val="1"/>
      <scheme val="minor"/>
    </font>
    <font>
      <sz val="10"/>
      <name val="Garamond"/>
      <family val="1"/>
      <scheme val="minor"/>
    </font>
    <font>
      <sz val="11"/>
      <color theme="0" tint="-0.499984740745262"/>
      <name val="Garamond"/>
      <family val="1"/>
      <scheme val="major"/>
    </font>
    <font>
      <b/>
      <sz val="11"/>
      <color theme="0" tint="-0.499984740745262"/>
      <name val="Garamond"/>
      <family val="1"/>
      <scheme val="major"/>
    </font>
    <font>
      <b/>
      <sz val="11"/>
      <color rgb="FF000000"/>
      <name val="Garamond"/>
      <family val="1"/>
      <scheme val="major"/>
    </font>
    <font>
      <sz val="11"/>
      <color rgb="FF000000"/>
      <name val="Garamond"/>
      <family val="1"/>
      <scheme val="major"/>
    </font>
    <font>
      <i/>
      <sz val="11"/>
      <color rgb="FF000000"/>
      <name val="Garamond"/>
      <family val="1"/>
      <scheme val="major"/>
    </font>
    <font>
      <b/>
      <sz val="12"/>
      <color rgb="FFFF0000"/>
      <name val="Garamond"/>
      <family val="1"/>
      <scheme val="major"/>
    </font>
    <font>
      <sz val="12"/>
      <color theme="1"/>
      <name val="Garamond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0D094"/>
        <bgColor indexed="64"/>
      </patternFill>
    </fill>
    <fill>
      <patternFill patternType="solid">
        <fgColor rgb="FFA7DCE7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9" fillId="0" borderId="0" xfId="0" applyFont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5" xfId="0" applyFont="1" applyFill="1" applyBorder="1"/>
    <xf numFmtId="0" fontId="13" fillId="4" borderId="15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readingOrder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2" fontId="9" fillId="0" borderId="6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/>
    <xf numFmtId="2" fontId="15" fillId="3" borderId="2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0" fillId="4" borderId="24" xfId="0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9" fillId="0" borderId="23" xfId="0" applyFont="1" applyBorder="1"/>
    <xf numFmtId="0" fontId="9" fillId="0" borderId="24" xfId="0" applyFont="1" applyBorder="1"/>
    <xf numFmtId="0" fontId="6" fillId="0" borderId="0" xfId="0" applyFont="1" applyFill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Font="1"/>
    <xf numFmtId="0" fontId="9" fillId="0" borderId="11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0" fillId="0" borderId="21" xfId="0" applyBorder="1" applyAlignment="1">
      <alignment horizontal="left" vertical="center" wrapText="1"/>
    </xf>
    <xf numFmtId="0" fontId="0" fillId="0" borderId="21" xfId="0" applyBorder="1"/>
    <xf numFmtId="0" fontId="2" fillId="0" borderId="21" xfId="0" applyFont="1" applyFill="1" applyBorder="1" applyAlignment="1">
      <alignment vertical="center"/>
    </xf>
    <xf numFmtId="0" fontId="9" fillId="0" borderId="21" xfId="0" applyFont="1" applyFill="1" applyBorder="1"/>
    <xf numFmtId="0" fontId="0" fillId="0" borderId="21" xfId="0" applyFill="1" applyBorder="1" applyAlignment="1">
      <alignment horizontal="left" vertical="center"/>
    </xf>
    <xf numFmtId="0" fontId="9" fillId="0" borderId="21" xfId="0" applyFont="1" applyBorder="1"/>
    <xf numFmtId="0" fontId="18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21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9" fillId="4" borderId="15" xfId="0" applyFont="1" applyFill="1" applyBorder="1" applyAlignment="1">
      <alignment horizontal="right" vertical="center"/>
    </xf>
    <xf numFmtId="1" fontId="20" fillId="5" borderId="11" xfId="0" applyNumberFormat="1" applyFont="1" applyFill="1" applyBorder="1" applyAlignment="1">
      <alignment horizontal="center" vertical="center"/>
    </xf>
    <xf numFmtId="0" fontId="20" fillId="5" borderId="11" xfId="0" applyNumberFormat="1" applyFont="1" applyFill="1" applyBorder="1" applyAlignment="1">
      <alignment horizontal="center" vertical="center"/>
    </xf>
    <xf numFmtId="0" fontId="11" fillId="5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/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readingOrder="1"/>
    </xf>
    <xf numFmtId="0" fontId="22" fillId="0" borderId="16" xfId="0" applyFont="1" applyFill="1" applyBorder="1" applyAlignment="1">
      <alignment horizontal="justify" vertical="center" readingOrder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11" fillId="0" borderId="17" xfId="0" applyFont="1" applyBorder="1"/>
    <xf numFmtId="0" fontId="9" fillId="0" borderId="17" xfId="0" applyFont="1" applyFill="1" applyBorder="1"/>
    <xf numFmtId="0" fontId="9" fillId="0" borderId="15" xfId="0" applyFont="1" applyFill="1" applyBorder="1"/>
    <xf numFmtId="0" fontId="9" fillId="0" borderId="15" xfId="0" applyFont="1" applyBorder="1"/>
    <xf numFmtId="0" fontId="9" fillId="0" borderId="16" xfId="0" applyFont="1" applyFill="1" applyBorder="1"/>
    <xf numFmtId="0" fontId="9" fillId="0" borderId="16" xfId="0" applyFont="1" applyBorder="1"/>
    <xf numFmtId="0" fontId="9" fillId="0" borderId="17" xfId="0" applyFont="1" applyBorder="1"/>
    <xf numFmtId="0" fontId="11" fillId="0" borderId="17" xfId="0" applyFont="1" applyBorder="1" applyAlignment="1">
      <alignment horizontal="left"/>
    </xf>
    <xf numFmtId="0" fontId="22" fillId="0" borderId="17" xfId="0" applyFont="1" applyBorder="1" applyAlignment="1">
      <alignment horizontal="left" indent="1" readingOrder="1"/>
    </xf>
    <xf numFmtId="0" fontId="22" fillId="0" borderId="15" xfId="0" applyFont="1" applyBorder="1" applyAlignment="1">
      <alignment horizontal="left" indent="1" readingOrder="1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wrapText="1"/>
    </xf>
    <xf numFmtId="49" fontId="13" fillId="0" borderId="17" xfId="0" quotePrefix="1" applyNumberFormat="1" applyFont="1" applyFill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49" fontId="13" fillId="0" borderId="15" xfId="0" applyNumberFormat="1" applyFont="1" applyFill="1" applyBorder="1" applyAlignment="1">
      <alignment horizontal="left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5" xfId="0" quotePrefix="1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vertical="center" wrapText="1" readingOrder="1"/>
    </xf>
    <xf numFmtId="0" fontId="13" fillId="0" borderId="15" xfId="0" applyFont="1" applyBorder="1" applyAlignment="1">
      <alignment horizontal="left" vertical="center" wrapText="1"/>
    </xf>
    <xf numFmtId="0" fontId="22" fillId="0" borderId="15" xfId="0" quotePrefix="1" applyFont="1" applyBorder="1" applyAlignment="1">
      <alignment horizontal="left"/>
    </xf>
    <xf numFmtId="0" fontId="22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15" xfId="0" applyNumberFormat="1" applyFont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wrapText="1"/>
    </xf>
    <xf numFmtId="2" fontId="9" fillId="0" borderId="23" xfId="0" applyNumberFormat="1" applyFont="1" applyFill="1" applyBorder="1"/>
    <xf numFmtId="2" fontId="9" fillId="0" borderId="24" xfId="0" applyNumberFormat="1" applyFont="1" applyFill="1" applyBorder="1"/>
    <xf numFmtId="0" fontId="24" fillId="0" borderId="0" xfId="0" applyFont="1" applyFill="1" applyBorder="1"/>
    <xf numFmtId="0" fontId="13" fillId="4" borderId="17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right" vertical="center"/>
    </xf>
    <xf numFmtId="1" fontId="11" fillId="5" borderId="21" xfId="0" applyNumberFormat="1" applyFont="1" applyFill="1" applyBorder="1" applyAlignment="1">
      <alignment horizontal="center" vertical="center"/>
    </xf>
    <xf numFmtId="0" fontId="11" fillId="5" borderId="21" xfId="0" applyNumberFormat="1" applyFont="1" applyFill="1" applyBorder="1" applyAlignment="1">
      <alignment horizontal="center" vertical="center"/>
    </xf>
    <xf numFmtId="0" fontId="15" fillId="5" borderId="21" xfId="0" applyFont="1" applyFill="1" applyBorder="1"/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25" fillId="6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7DCE7"/>
      <color rgb="FFE0D094"/>
      <color rgb="FFB39737"/>
      <color rgb="FF52C6D8"/>
      <color rgb="FFFFD04B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1514475</xdr:colOff>
      <xdr:row>12</xdr:row>
      <xdr:rowOff>142875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952750"/>
          <a:ext cx="15144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1466850</xdr:colOff>
      <xdr:row>18</xdr:row>
      <xdr:rowOff>95250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095750"/>
          <a:ext cx="14668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1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ersonnalisé 2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Débi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8"/>
  <sheetViews>
    <sheetView topLeftCell="A35" zoomScale="85" zoomScaleNormal="85" workbookViewId="0">
      <selection activeCell="C49" sqref="C49:F78"/>
    </sheetView>
  </sheetViews>
  <sheetFormatPr baseColWidth="10" defaultColWidth="44.140625" defaultRowHeight="15" x14ac:dyDescent="0.25"/>
  <cols>
    <col min="1" max="1" width="30.5703125" customWidth="1"/>
    <col min="2" max="2" width="54.28515625" customWidth="1"/>
    <col min="3" max="3" width="49.5703125" bestFit="1" customWidth="1"/>
    <col min="4" max="4" width="26.7109375" customWidth="1"/>
    <col min="5" max="5" width="6" bestFit="1" customWidth="1"/>
    <col min="6" max="6" width="29.140625" bestFit="1" customWidth="1"/>
    <col min="7" max="7" width="108.7109375" style="116" customWidth="1"/>
    <col min="8" max="8" width="11.5703125" style="5" customWidth="1"/>
    <col min="9" max="9" width="10.85546875" bestFit="1" customWidth="1"/>
    <col min="10" max="10" width="5.7109375" bestFit="1" customWidth="1"/>
    <col min="11" max="11" width="64" customWidth="1"/>
    <col min="12" max="13" width="22.5703125" customWidth="1"/>
  </cols>
  <sheetData>
    <row r="1" spans="1:4" x14ac:dyDescent="0.25">
      <c r="A1" s="7" t="s">
        <v>45</v>
      </c>
      <c r="B1" t="s">
        <v>21</v>
      </c>
    </row>
    <row r="2" spans="1:4" x14ac:dyDescent="0.25">
      <c r="B2" t="s">
        <v>22</v>
      </c>
    </row>
    <row r="3" spans="1:4" x14ac:dyDescent="0.25">
      <c r="B3" t="s">
        <v>23</v>
      </c>
    </row>
    <row r="4" spans="1:4" x14ac:dyDescent="0.25">
      <c r="B4" t="s">
        <v>24</v>
      </c>
    </row>
    <row r="5" spans="1:4" x14ac:dyDescent="0.25">
      <c r="B5" t="s">
        <v>25</v>
      </c>
    </row>
    <row r="7" spans="1:4" x14ac:dyDescent="0.25">
      <c r="B7" t="s">
        <v>26</v>
      </c>
    </row>
    <row r="8" spans="1:4" x14ac:dyDescent="0.25">
      <c r="B8" t="s">
        <v>27</v>
      </c>
    </row>
    <row r="9" spans="1:4" x14ac:dyDescent="0.25">
      <c r="B9" t="s">
        <v>28</v>
      </c>
      <c r="C9" t="s">
        <v>29</v>
      </c>
    </row>
    <row r="10" spans="1:4" x14ac:dyDescent="0.25">
      <c r="B10" t="s">
        <v>30</v>
      </c>
      <c r="C10" t="s">
        <v>31</v>
      </c>
    </row>
    <row r="11" spans="1:4" x14ac:dyDescent="0.25">
      <c r="B11" t="s">
        <v>32</v>
      </c>
      <c r="C11" t="s">
        <v>33</v>
      </c>
    </row>
    <row r="13" spans="1:4" x14ac:dyDescent="0.25">
      <c r="B13" t="s">
        <v>46</v>
      </c>
    </row>
    <row r="16" spans="1:4" x14ac:dyDescent="0.25">
      <c r="D16" t="s">
        <v>34</v>
      </c>
    </row>
    <row r="17" spans="1:7" x14ac:dyDescent="0.25">
      <c r="C17" s="4" t="s">
        <v>35</v>
      </c>
      <c r="D17">
        <v>1.5</v>
      </c>
    </row>
    <row r="18" spans="1:7" x14ac:dyDescent="0.25">
      <c r="A18" s="118" t="s">
        <v>122</v>
      </c>
      <c r="B18" s="118" t="s">
        <v>121</v>
      </c>
      <c r="C18" s="4"/>
    </row>
    <row r="19" spans="1:7" x14ac:dyDescent="0.25">
      <c r="A19" s="119" t="s">
        <v>104</v>
      </c>
      <c r="B19" s="119" t="s">
        <v>104</v>
      </c>
      <c r="C19" s="4"/>
    </row>
    <row r="20" spans="1:7" x14ac:dyDescent="0.25">
      <c r="A20" s="120" t="s">
        <v>105</v>
      </c>
      <c r="B20" s="125" t="s">
        <v>123</v>
      </c>
    </row>
    <row r="21" spans="1:7" ht="25.5" x14ac:dyDescent="0.25">
      <c r="A21" s="120" t="s">
        <v>106</v>
      </c>
      <c r="B21" s="125" t="s">
        <v>124</v>
      </c>
    </row>
    <row r="22" spans="1:7" x14ac:dyDescent="0.25">
      <c r="A22" s="121" t="s">
        <v>15</v>
      </c>
      <c r="B22" s="122" t="s">
        <v>72</v>
      </c>
    </row>
    <row r="23" spans="1:7" ht="75" x14ac:dyDescent="0.25">
      <c r="A23" s="121" t="s">
        <v>14</v>
      </c>
      <c r="B23" s="128" t="s">
        <v>126</v>
      </c>
      <c r="C23" s="4"/>
    </row>
    <row r="24" spans="1:7" x14ac:dyDescent="0.25">
      <c r="A24" s="121" t="s">
        <v>13</v>
      </c>
      <c r="B24" s="122" t="s">
        <v>125</v>
      </c>
      <c r="C24" s="4"/>
    </row>
    <row r="25" spans="1:7" x14ac:dyDescent="0.25">
      <c r="A25" s="121" t="s">
        <v>68</v>
      </c>
      <c r="B25" s="120" t="s">
        <v>73</v>
      </c>
      <c r="C25" s="4"/>
    </row>
    <row r="26" spans="1:7" x14ac:dyDescent="0.25">
      <c r="A26" s="121" t="s">
        <v>69</v>
      </c>
      <c r="B26" s="120" t="s">
        <v>74</v>
      </c>
      <c r="C26" s="4"/>
    </row>
    <row r="27" spans="1:7" x14ac:dyDescent="0.25">
      <c r="A27" s="123" t="s">
        <v>77</v>
      </c>
      <c r="B27" s="124" t="s">
        <v>75</v>
      </c>
      <c r="C27" s="4"/>
      <c r="G27" s="133"/>
    </row>
    <row r="28" spans="1:7" x14ac:dyDescent="0.25">
      <c r="A28" s="126" t="s">
        <v>78</v>
      </c>
      <c r="B28" s="122" t="s">
        <v>76</v>
      </c>
      <c r="C28" s="4"/>
      <c r="G28" s="129"/>
    </row>
    <row r="29" spans="1:7" x14ac:dyDescent="0.25">
      <c r="A29" s="127"/>
      <c r="B29" s="17"/>
      <c r="C29" s="4"/>
      <c r="G29" s="129"/>
    </row>
    <row r="30" spans="1:7" ht="60" x14ac:dyDescent="0.25">
      <c r="A30" s="8" t="s">
        <v>82</v>
      </c>
      <c r="B30" s="17"/>
      <c r="C30" s="129"/>
      <c r="D30" s="209"/>
      <c r="E30" s="209"/>
      <c r="F30" s="209"/>
      <c r="G30" s="209"/>
    </row>
    <row r="31" spans="1:7" x14ac:dyDescent="0.25">
      <c r="C31" s="130"/>
      <c r="D31" s="131"/>
      <c r="E31" s="12"/>
      <c r="F31" s="12"/>
      <c r="G31" s="12"/>
    </row>
    <row r="32" spans="1:7" x14ac:dyDescent="0.25">
      <c r="C32" s="130"/>
      <c r="D32" s="131"/>
      <c r="E32" s="12"/>
      <c r="F32" s="12"/>
      <c r="G32" s="12"/>
    </row>
    <row r="33" spans="1:10" ht="15.75" x14ac:dyDescent="0.25">
      <c r="A33" s="86"/>
      <c r="B33" s="183" t="s">
        <v>131</v>
      </c>
      <c r="C33" s="130"/>
      <c r="D33" s="131"/>
      <c r="E33" s="12"/>
      <c r="F33" s="12"/>
      <c r="G33" s="12"/>
    </row>
    <row r="34" spans="1:10" x14ac:dyDescent="0.25">
      <c r="C34" s="130"/>
      <c r="D34" s="132"/>
      <c r="E34" s="12"/>
      <c r="F34" s="12"/>
      <c r="G34" s="12"/>
    </row>
    <row r="35" spans="1:10" x14ac:dyDescent="0.25">
      <c r="A35" t="s">
        <v>128</v>
      </c>
      <c r="C35" s="130"/>
      <c r="D35" s="132"/>
      <c r="E35" s="12"/>
      <c r="F35" s="12"/>
      <c r="G35" s="12"/>
    </row>
    <row r="36" spans="1:10" x14ac:dyDescent="0.25">
      <c r="C36" s="130"/>
      <c r="D36" s="132"/>
      <c r="E36" s="12"/>
      <c r="F36" s="12"/>
      <c r="G36" s="12"/>
    </row>
    <row r="37" spans="1:10" x14ac:dyDescent="0.25">
      <c r="A37" s="76" t="s">
        <v>16</v>
      </c>
      <c r="B37" s="119" t="s">
        <v>104</v>
      </c>
      <c r="C37" s="120" t="s">
        <v>105</v>
      </c>
      <c r="D37" s="120" t="s">
        <v>106</v>
      </c>
      <c r="E37" s="12"/>
      <c r="F37" s="12"/>
      <c r="G37" s="12"/>
    </row>
    <row r="38" spans="1:10" x14ac:dyDescent="0.25">
      <c r="A38" s="77" t="s">
        <v>132</v>
      </c>
      <c r="B38" s="84">
        <v>0</v>
      </c>
      <c r="C38" s="84"/>
      <c r="D38" s="137">
        <v>1</v>
      </c>
      <c r="E38" s="12"/>
      <c r="F38" s="12"/>
      <c r="G38" s="12"/>
    </row>
    <row r="39" spans="1:10" x14ac:dyDescent="0.25">
      <c r="A39" s="134" t="s">
        <v>81</v>
      </c>
      <c r="B39" s="135"/>
      <c r="C39" s="135"/>
      <c r="D39" s="135"/>
      <c r="E39" s="12"/>
      <c r="F39" s="12"/>
      <c r="G39" s="12"/>
    </row>
    <row r="40" spans="1:10" x14ac:dyDescent="0.25">
      <c r="A40" s="134" t="s">
        <v>112</v>
      </c>
      <c r="B40" s="135"/>
      <c r="C40" s="135"/>
      <c r="D40" s="135"/>
      <c r="E40" s="12"/>
      <c r="F40" s="12"/>
      <c r="G40" s="12"/>
    </row>
    <row r="41" spans="1:10" x14ac:dyDescent="0.25">
      <c r="A41" s="134" t="s">
        <v>15</v>
      </c>
      <c r="B41" s="136"/>
      <c r="C41" s="136"/>
      <c r="D41" s="136"/>
      <c r="E41" s="12"/>
      <c r="F41" s="12"/>
      <c r="G41" s="12"/>
    </row>
    <row r="42" spans="1:10" x14ac:dyDescent="0.25">
      <c r="A42" s="134" t="s">
        <v>14</v>
      </c>
      <c r="B42" s="136"/>
      <c r="C42" s="136"/>
      <c r="D42" s="136"/>
      <c r="E42" s="12"/>
      <c r="F42" s="12"/>
      <c r="G42" s="12"/>
    </row>
    <row r="43" spans="1:10" x14ac:dyDescent="0.25">
      <c r="A43" s="78" t="s">
        <v>13</v>
      </c>
      <c r="B43" s="85">
        <v>0</v>
      </c>
      <c r="C43" s="85" t="s">
        <v>127</v>
      </c>
      <c r="D43" s="85">
        <v>0</v>
      </c>
      <c r="E43" s="12"/>
      <c r="F43" s="12"/>
      <c r="G43" s="12"/>
    </row>
    <row r="44" spans="1:10" x14ac:dyDescent="0.25">
      <c r="C44" s="130"/>
      <c r="D44" s="132"/>
      <c r="E44" s="12"/>
      <c r="F44" s="12"/>
      <c r="G44" s="12"/>
    </row>
    <row r="45" spans="1:10" x14ac:dyDescent="0.25">
      <c r="B45" s="3"/>
      <c r="C45" s="130"/>
      <c r="D45" s="132"/>
      <c r="E45" s="12"/>
      <c r="F45" s="12"/>
      <c r="G45" s="12"/>
      <c r="H45" s="5">
        <f>327/13</f>
        <v>25.153846153846153</v>
      </c>
    </row>
    <row r="46" spans="1:10" ht="15.75" customHeight="1" x14ac:dyDescent="0.25">
      <c r="A46" s="1"/>
    </row>
    <row r="47" spans="1:10" x14ac:dyDescent="0.25">
      <c r="A47" s="1"/>
    </row>
    <row r="48" spans="1:10" s="2" customFormat="1" x14ac:dyDescent="0.25">
      <c r="A48" s="138"/>
      <c r="B48" s="139"/>
      <c r="C48" s="141" t="s">
        <v>37</v>
      </c>
      <c r="D48" s="153" t="s">
        <v>44</v>
      </c>
      <c r="E48" s="153" t="s">
        <v>12</v>
      </c>
      <c r="F48" s="153" t="s">
        <v>137</v>
      </c>
      <c r="G48" s="160" t="s">
        <v>130</v>
      </c>
      <c r="I48"/>
      <c r="J48"/>
    </row>
    <row r="49" spans="1:11" s="2" customFormat="1" x14ac:dyDescent="0.25">
      <c r="A49" s="138"/>
      <c r="B49" s="203" t="s">
        <v>20</v>
      </c>
      <c r="C49" s="142" t="s">
        <v>102</v>
      </c>
      <c r="D49" s="154" t="s">
        <v>103</v>
      </c>
      <c r="E49" s="154" t="s">
        <v>3</v>
      </c>
      <c r="F49" s="154">
        <v>50</v>
      </c>
      <c r="G49" s="161" t="s">
        <v>110</v>
      </c>
      <c r="H49" s="3"/>
      <c r="K49" s="2">
        <f>F50+F51+F52+F54+F55+(F56/2)+F57+F58+(F59*3)</f>
        <v>76.040000000000006</v>
      </c>
    </row>
    <row r="50" spans="1:11" s="2" customFormat="1" x14ac:dyDescent="0.25">
      <c r="A50" s="17"/>
      <c r="B50" s="204"/>
      <c r="C50" s="143" t="s">
        <v>8</v>
      </c>
      <c r="D50" s="155">
        <v>25.66</v>
      </c>
      <c r="E50" s="155" t="s">
        <v>3</v>
      </c>
      <c r="F50" s="155">
        <v>25.66</v>
      </c>
      <c r="G50" s="162" t="s">
        <v>107</v>
      </c>
      <c r="H50" s="3"/>
      <c r="I50" s="3"/>
    </row>
    <row r="51" spans="1:11" s="2" customFormat="1" x14ac:dyDescent="0.25">
      <c r="A51" s="17"/>
      <c r="B51" s="204"/>
      <c r="C51" s="144" t="s">
        <v>60</v>
      </c>
      <c r="D51" s="155">
        <v>180</v>
      </c>
      <c r="E51" s="155">
        <v>10</v>
      </c>
      <c r="F51" s="155">
        <v>18</v>
      </c>
      <c r="G51" s="163">
        <v>1</v>
      </c>
      <c r="H51" s="3"/>
      <c r="I51" s="3"/>
    </row>
    <row r="52" spans="1:11" s="2" customFormat="1" x14ac:dyDescent="0.25">
      <c r="A52" s="17"/>
      <c r="B52" s="204"/>
      <c r="C52" s="143" t="s">
        <v>7</v>
      </c>
      <c r="D52" s="155">
        <v>20</v>
      </c>
      <c r="E52" s="155" t="s">
        <v>168</v>
      </c>
      <c r="F52" s="155">
        <v>10</v>
      </c>
      <c r="G52" s="163">
        <v>1</v>
      </c>
      <c r="H52"/>
      <c r="I52"/>
    </row>
    <row r="53" spans="1:11" s="2" customFormat="1" x14ac:dyDescent="0.25">
      <c r="A53" s="17" t="s">
        <v>140</v>
      </c>
      <c r="B53" s="204"/>
      <c r="C53" s="143" t="s">
        <v>145</v>
      </c>
      <c r="D53" s="155">
        <v>6</v>
      </c>
      <c r="E53" s="155" t="s">
        <v>3</v>
      </c>
      <c r="F53" s="155">
        <v>6</v>
      </c>
      <c r="G53" s="161" t="s">
        <v>158</v>
      </c>
      <c r="H53"/>
      <c r="I53"/>
    </row>
    <row r="54" spans="1:11" s="2" customFormat="1" x14ac:dyDescent="0.25">
      <c r="A54" s="17" t="s">
        <v>133</v>
      </c>
      <c r="B54" s="204"/>
      <c r="C54" s="145" t="s">
        <v>67</v>
      </c>
      <c r="D54" s="155">
        <v>1.95</v>
      </c>
      <c r="E54" s="155" t="s">
        <v>139</v>
      </c>
      <c r="F54" s="155">
        <v>1.95</v>
      </c>
      <c r="G54" s="164" t="s">
        <v>147</v>
      </c>
      <c r="H54"/>
      <c r="I54"/>
    </row>
    <row r="55" spans="1:11" s="2" customFormat="1" x14ac:dyDescent="0.25">
      <c r="A55" s="17">
        <f>((0.26*2.5)*1.95)+(1.5*3)</f>
        <v>5.7675000000000001</v>
      </c>
      <c r="B55" s="204"/>
      <c r="C55" s="146" t="s">
        <v>162</v>
      </c>
      <c r="D55" s="156">
        <v>2.58</v>
      </c>
      <c r="E55" s="156">
        <v>110</v>
      </c>
      <c r="F55" s="156">
        <v>2.58</v>
      </c>
      <c r="G55" s="164" t="s">
        <v>163</v>
      </c>
      <c r="H55"/>
      <c r="I55"/>
    </row>
    <row r="56" spans="1:11" s="2" customFormat="1" x14ac:dyDescent="0.25">
      <c r="A56" s="17" t="s">
        <v>134</v>
      </c>
      <c r="B56" s="204"/>
      <c r="C56" s="145" t="s">
        <v>70</v>
      </c>
      <c r="D56" s="155">
        <v>13.5</v>
      </c>
      <c r="E56" s="155" t="s">
        <v>139</v>
      </c>
      <c r="F56" s="155">
        <v>13.5</v>
      </c>
      <c r="G56" s="164" t="s">
        <v>148</v>
      </c>
      <c r="H56"/>
      <c r="I56"/>
    </row>
    <row r="57" spans="1:11" s="2" customFormat="1" x14ac:dyDescent="0.25">
      <c r="A57" s="17">
        <f>((0.26*2+0.1)*13.5)+(1.2)</f>
        <v>9.5699999999999985</v>
      </c>
      <c r="B57" s="204"/>
      <c r="C57" s="145" t="s">
        <v>143</v>
      </c>
      <c r="D57" s="155">
        <v>1.2</v>
      </c>
      <c r="E57" s="155">
        <v>1</v>
      </c>
      <c r="F57" s="155">
        <v>1.2</v>
      </c>
      <c r="G57" s="162" t="s">
        <v>155</v>
      </c>
      <c r="H57"/>
      <c r="I57"/>
    </row>
    <row r="58" spans="1:11" s="2" customFormat="1" x14ac:dyDescent="0.25">
      <c r="A58" s="17"/>
      <c r="B58" s="204"/>
      <c r="C58" s="145" t="s">
        <v>146</v>
      </c>
      <c r="D58" s="155">
        <v>5.4</v>
      </c>
      <c r="E58" s="155">
        <v>1</v>
      </c>
      <c r="F58" s="155">
        <v>5.4</v>
      </c>
      <c r="G58" s="162" t="s">
        <v>156</v>
      </c>
      <c r="H58"/>
      <c r="I58"/>
    </row>
    <row r="59" spans="1:11" s="2" customFormat="1" x14ac:dyDescent="0.25">
      <c r="A59" s="17"/>
      <c r="B59" s="204"/>
      <c r="C59" s="143" t="s">
        <v>63</v>
      </c>
      <c r="D59" s="156">
        <v>1.5</v>
      </c>
      <c r="E59" s="156" t="s">
        <v>3</v>
      </c>
      <c r="F59" s="156">
        <v>1.5</v>
      </c>
      <c r="G59" s="164" t="s">
        <v>157</v>
      </c>
      <c r="H59"/>
      <c r="I59"/>
    </row>
    <row r="60" spans="1:11" s="2" customFormat="1" x14ac:dyDescent="0.25">
      <c r="A60" s="17"/>
      <c r="B60" s="205"/>
      <c r="C60" s="147" t="s">
        <v>84</v>
      </c>
      <c r="D60" s="157" t="s">
        <v>141</v>
      </c>
      <c r="E60" s="157" t="s">
        <v>3</v>
      </c>
      <c r="F60" s="157">
        <v>112</v>
      </c>
      <c r="G60" s="157" t="s">
        <v>159</v>
      </c>
      <c r="H60"/>
      <c r="I60"/>
    </row>
    <row r="61" spans="1:11" s="2" customFormat="1" ht="30" x14ac:dyDescent="0.25">
      <c r="A61" s="17"/>
      <c r="B61" s="203" t="s">
        <v>17</v>
      </c>
      <c r="C61" s="148" t="s">
        <v>67</v>
      </c>
      <c r="D61" s="154">
        <v>1.95</v>
      </c>
      <c r="E61" s="154" t="s">
        <v>139</v>
      </c>
      <c r="F61" s="154">
        <v>1.95</v>
      </c>
      <c r="G61" s="165" t="s">
        <v>108</v>
      </c>
      <c r="H61"/>
      <c r="I61"/>
    </row>
    <row r="62" spans="1:11" s="2" customFormat="1" x14ac:dyDescent="0.25">
      <c r="A62" s="17"/>
      <c r="B62" s="204"/>
      <c r="C62" s="143" t="s">
        <v>63</v>
      </c>
      <c r="D62" s="156">
        <v>1.5</v>
      </c>
      <c r="E62" s="156">
        <v>1</v>
      </c>
      <c r="F62" s="156">
        <v>1.5</v>
      </c>
      <c r="G62" s="166">
        <v>6</v>
      </c>
      <c r="H62"/>
      <c r="I62"/>
    </row>
    <row r="63" spans="1:11" s="2" customFormat="1" x14ac:dyDescent="0.25">
      <c r="A63" s="17"/>
      <c r="B63" s="204"/>
      <c r="C63" s="146" t="s">
        <v>151</v>
      </c>
      <c r="D63" s="156">
        <v>3.12</v>
      </c>
      <c r="E63" s="156" t="s">
        <v>3</v>
      </c>
      <c r="F63" s="156">
        <v>3.12</v>
      </c>
      <c r="G63" s="166" t="s">
        <v>160</v>
      </c>
      <c r="H63"/>
      <c r="I63"/>
    </row>
    <row r="64" spans="1:11" s="2" customFormat="1" ht="45" x14ac:dyDescent="0.25">
      <c r="A64" s="17"/>
      <c r="B64" s="204"/>
      <c r="C64" s="145" t="s">
        <v>70</v>
      </c>
      <c r="D64" s="156">
        <v>67.5</v>
      </c>
      <c r="E64" s="156" t="s">
        <v>136</v>
      </c>
      <c r="F64" s="156">
        <v>13.5</v>
      </c>
      <c r="G64" s="167" t="s">
        <v>109</v>
      </c>
      <c r="H64"/>
      <c r="I64"/>
    </row>
    <row r="65" spans="1:9" s="2" customFormat="1" ht="90" x14ac:dyDescent="0.25">
      <c r="A65" s="17"/>
      <c r="B65" s="206" t="s">
        <v>18</v>
      </c>
      <c r="C65" s="150" t="s">
        <v>40</v>
      </c>
      <c r="D65" s="156" t="s">
        <v>138</v>
      </c>
      <c r="E65" s="159"/>
      <c r="F65" s="159">
        <v>112</v>
      </c>
      <c r="G65" s="168" t="s">
        <v>118</v>
      </c>
      <c r="H65"/>
      <c r="I65"/>
    </row>
    <row r="66" spans="1:9" s="2" customFormat="1" ht="105" x14ac:dyDescent="0.25">
      <c r="A66" s="17"/>
      <c r="B66" s="207"/>
      <c r="C66" s="151" t="s">
        <v>41</v>
      </c>
      <c r="D66" s="156" t="s">
        <v>138</v>
      </c>
      <c r="E66" s="156"/>
      <c r="F66" s="156">
        <v>112</v>
      </c>
      <c r="G66" s="169" t="s">
        <v>119</v>
      </c>
      <c r="H66"/>
      <c r="I66"/>
    </row>
    <row r="67" spans="1:9" s="2" customFormat="1" x14ac:dyDescent="0.25">
      <c r="A67" s="17"/>
      <c r="B67" s="207"/>
      <c r="C67" s="145" t="s">
        <v>71</v>
      </c>
      <c r="D67" s="156">
        <v>0.3</v>
      </c>
      <c r="E67" s="156">
        <v>1</v>
      </c>
      <c r="F67" s="156">
        <v>0.3</v>
      </c>
      <c r="G67" s="170" t="s">
        <v>115</v>
      </c>
      <c r="H67"/>
      <c r="I67"/>
    </row>
    <row r="68" spans="1:9" x14ac:dyDescent="0.25">
      <c r="A68" s="94"/>
      <c r="B68" s="207"/>
      <c r="C68" s="145" t="s">
        <v>59</v>
      </c>
      <c r="D68" s="156">
        <v>3.2</v>
      </c>
      <c r="E68" s="156">
        <v>2</v>
      </c>
      <c r="F68" s="156">
        <v>1.6</v>
      </c>
      <c r="G68" s="171" t="s">
        <v>116</v>
      </c>
      <c r="H68"/>
    </row>
    <row r="69" spans="1:9" x14ac:dyDescent="0.25">
      <c r="A69" s="94"/>
      <c r="B69" s="207"/>
      <c r="C69" s="145" t="s">
        <v>64</v>
      </c>
      <c r="D69" s="156">
        <v>10.14</v>
      </c>
      <c r="E69" s="156">
        <v>100</v>
      </c>
      <c r="F69" s="156">
        <v>0.1</v>
      </c>
      <c r="G69" s="170" t="s">
        <v>117</v>
      </c>
      <c r="H69"/>
    </row>
    <row r="70" spans="1:9" x14ac:dyDescent="0.25">
      <c r="A70" s="94"/>
      <c r="B70" s="207"/>
      <c r="C70" s="146" t="s">
        <v>61</v>
      </c>
      <c r="D70" s="156">
        <v>4.62</v>
      </c>
      <c r="E70" s="156">
        <v>1</v>
      </c>
      <c r="F70" s="156">
        <v>4.62</v>
      </c>
      <c r="G70" s="172">
        <v>1</v>
      </c>
      <c r="H70"/>
    </row>
    <row r="71" spans="1:9" ht="26.25" customHeight="1" x14ac:dyDescent="0.25">
      <c r="A71" s="94"/>
      <c r="B71" s="207"/>
      <c r="C71" s="143" t="s">
        <v>62</v>
      </c>
      <c r="D71" s="156">
        <v>16.48</v>
      </c>
      <c r="E71" s="156" t="s">
        <v>3</v>
      </c>
      <c r="F71" s="156">
        <v>16.48</v>
      </c>
      <c r="G71" s="166" t="s">
        <v>164</v>
      </c>
      <c r="H71"/>
    </row>
    <row r="72" spans="1:9" hidden="1" x14ac:dyDescent="0.25">
      <c r="A72" s="94"/>
      <c r="B72" s="207"/>
      <c r="C72" s="143" t="s">
        <v>63</v>
      </c>
      <c r="D72" s="156">
        <v>32.04</v>
      </c>
      <c r="E72" s="156">
        <v>10</v>
      </c>
      <c r="F72" s="156"/>
      <c r="G72" s="173" t="s">
        <v>129</v>
      </c>
      <c r="H72"/>
    </row>
    <row r="73" spans="1:9" x14ac:dyDescent="0.25">
      <c r="A73" s="94"/>
      <c r="B73" s="207"/>
      <c r="C73" s="143" t="s">
        <v>63</v>
      </c>
      <c r="D73" s="156">
        <v>1.5</v>
      </c>
      <c r="E73" s="156">
        <v>1</v>
      </c>
      <c r="F73" s="156">
        <v>1.5</v>
      </c>
      <c r="G73" s="174" t="s">
        <v>111</v>
      </c>
      <c r="H73"/>
    </row>
    <row r="74" spans="1:9" ht="165" x14ac:dyDescent="0.25">
      <c r="A74" s="94"/>
      <c r="B74" s="207"/>
      <c r="C74" s="145" t="s">
        <v>67</v>
      </c>
      <c r="D74" s="155">
        <v>1.95</v>
      </c>
      <c r="E74" s="155" t="s">
        <v>139</v>
      </c>
      <c r="F74" s="155">
        <v>1.95</v>
      </c>
      <c r="G74" s="175" t="s">
        <v>120</v>
      </c>
    </row>
    <row r="75" spans="1:9" x14ac:dyDescent="0.25">
      <c r="A75" s="94"/>
      <c r="B75" s="208"/>
      <c r="C75" s="152" t="s">
        <v>65</v>
      </c>
      <c r="D75" s="157">
        <v>4</v>
      </c>
      <c r="E75" s="158" t="s">
        <v>3</v>
      </c>
      <c r="F75" s="158">
        <v>4</v>
      </c>
      <c r="G75" s="176">
        <v>1</v>
      </c>
      <c r="H75"/>
    </row>
    <row r="76" spans="1:9" x14ac:dyDescent="0.25">
      <c r="A76" s="94"/>
      <c r="B76" s="203" t="s">
        <v>19</v>
      </c>
      <c r="C76" s="142" t="s">
        <v>101</v>
      </c>
      <c r="D76" s="154">
        <v>15</v>
      </c>
      <c r="E76" s="159" t="s">
        <v>3</v>
      </c>
      <c r="F76" s="159">
        <v>15</v>
      </c>
      <c r="G76" s="177" t="s">
        <v>113</v>
      </c>
      <c r="H76"/>
    </row>
    <row r="77" spans="1:9" x14ac:dyDescent="0.25">
      <c r="A77" s="94"/>
      <c r="B77" s="204"/>
      <c r="C77" s="145" t="s">
        <v>70</v>
      </c>
      <c r="D77" s="156">
        <v>67.5</v>
      </c>
      <c r="E77" s="156" t="s">
        <v>136</v>
      </c>
      <c r="F77" s="156">
        <f>D77/5</f>
        <v>13.5</v>
      </c>
      <c r="G77" s="178" t="s">
        <v>165</v>
      </c>
      <c r="H77" t="s">
        <v>114</v>
      </c>
    </row>
    <row r="78" spans="1:9" x14ac:dyDescent="0.25">
      <c r="A78" s="94"/>
      <c r="B78" s="205"/>
      <c r="C78" s="149" t="s">
        <v>135</v>
      </c>
      <c r="D78" s="158">
        <v>1.2</v>
      </c>
      <c r="E78" s="158">
        <v>1</v>
      </c>
      <c r="F78" s="158">
        <v>1.2</v>
      </c>
      <c r="G78" s="176" t="s">
        <v>166</v>
      </c>
      <c r="H78"/>
    </row>
    <row r="79" spans="1:9" x14ac:dyDescent="0.25">
      <c r="A79" s="94"/>
      <c r="B79" s="57"/>
      <c r="C79" s="20"/>
      <c r="D79" s="94"/>
      <c r="E79" s="94"/>
      <c r="F79" s="94"/>
      <c r="G79" s="140"/>
      <c r="H79"/>
    </row>
    <row r="80" spans="1:9" x14ac:dyDescent="0.25">
      <c r="B80" s="6"/>
      <c r="I80" s="3"/>
    </row>
    <row r="81" spans="1:9" ht="45" x14ac:dyDescent="0.25">
      <c r="A81" s="8" t="s">
        <v>47</v>
      </c>
      <c r="I81" s="3"/>
    </row>
    <row r="82" spans="1:9" x14ac:dyDescent="0.25">
      <c r="B82" s="6"/>
      <c r="I82" s="3"/>
    </row>
    <row r="83" spans="1:9" ht="240" x14ac:dyDescent="0.25">
      <c r="A83" s="9" t="s">
        <v>92</v>
      </c>
      <c r="B83" s="6"/>
      <c r="H83" s="10"/>
      <c r="I83" s="3"/>
    </row>
    <row r="84" spans="1:9" x14ac:dyDescent="0.25">
      <c r="B84" s="6"/>
      <c r="I84" s="3"/>
    </row>
    <row r="85" spans="1:9" x14ac:dyDescent="0.25">
      <c r="A85" s="114"/>
      <c r="B85" s="6"/>
      <c r="I85" s="3"/>
    </row>
    <row r="86" spans="1:9" x14ac:dyDescent="0.25">
      <c r="I86" s="3"/>
    </row>
    <row r="87" spans="1:9" x14ac:dyDescent="0.25">
      <c r="I87" s="3"/>
    </row>
    <row r="88" spans="1:9" x14ac:dyDescent="0.25">
      <c r="I88" s="3"/>
    </row>
  </sheetData>
  <mergeCells count="5">
    <mergeCell ref="B49:B60"/>
    <mergeCell ref="B61:B64"/>
    <mergeCell ref="B65:B75"/>
    <mergeCell ref="B76:B78"/>
    <mergeCell ref="D30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85" zoomScaleNormal="85" workbookViewId="0">
      <selection activeCell="G5" sqref="G5"/>
    </sheetView>
  </sheetViews>
  <sheetFormatPr baseColWidth="10" defaultRowHeight="15" x14ac:dyDescent="0.25"/>
  <cols>
    <col min="1" max="1" width="15.42578125" style="11" customWidth="1"/>
    <col min="2" max="2" width="41.140625" style="11" bestFit="1" customWidth="1"/>
    <col min="3" max="3" width="7" style="28" bestFit="1" customWidth="1"/>
    <col min="4" max="4" width="10.5703125" style="28" bestFit="1" customWidth="1"/>
    <col min="5" max="5" width="11" style="28" bestFit="1" customWidth="1"/>
    <col min="6" max="6" width="12.28515625" style="28" bestFit="1" customWidth="1"/>
    <col min="7" max="7" width="12.28515625" style="28" customWidth="1"/>
    <col min="8" max="8" width="27.85546875" style="28" bestFit="1" customWidth="1"/>
    <col min="9" max="9" width="13.140625" style="11" bestFit="1" customWidth="1"/>
    <col min="10" max="10" width="8" style="11" bestFit="1" customWidth="1"/>
    <col min="11" max="11" width="7.85546875" style="11" bestFit="1" customWidth="1"/>
    <col min="12" max="12" width="9.28515625" style="11" bestFit="1" customWidth="1"/>
    <col min="13" max="16384" width="11.42578125" style="11"/>
  </cols>
  <sheetData>
    <row r="1" spans="1:14" s="59" customFormat="1" x14ac:dyDescent="0.25">
      <c r="C1" s="60"/>
      <c r="D1" s="60"/>
      <c r="E1" s="60"/>
      <c r="F1" s="60"/>
      <c r="G1" s="60"/>
      <c r="H1" s="76" t="s">
        <v>16</v>
      </c>
      <c r="I1" s="213" t="s">
        <v>152</v>
      </c>
      <c r="J1" s="214"/>
      <c r="K1" s="215"/>
    </row>
    <row r="2" spans="1:14" s="17" customFormat="1" x14ac:dyDescent="0.25">
      <c r="C2" s="30"/>
      <c r="D2" s="30"/>
      <c r="E2" s="30"/>
      <c r="F2" s="30"/>
      <c r="G2" s="30"/>
      <c r="H2" s="188" t="s">
        <v>132</v>
      </c>
      <c r="I2" s="189"/>
      <c r="J2" s="14"/>
      <c r="K2" s="15"/>
    </row>
    <row r="3" spans="1:14" s="17" customFormat="1" x14ac:dyDescent="0.25">
      <c r="B3" s="191" t="s">
        <v>153</v>
      </c>
      <c r="D3" s="30"/>
      <c r="E3" s="30"/>
      <c r="F3" s="30"/>
      <c r="G3" s="30"/>
      <c r="H3" s="188" t="s">
        <v>81</v>
      </c>
      <c r="I3" s="189"/>
      <c r="J3" s="12"/>
      <c r="K3" s="13"/>
    </row>
    <row r="4" spans="1:14" s="17" customFormat="1" x14ac:dyDescent="0.25">
      <c r="C4" s="30"/>
      <c r="D4" s="30"/>
      <c r="E4" s="30"/>
      <c r="F4" s="30"/>
      <c r="G4" s="30"/>
      <c r="H4" s="188" t="s">
        <v>112</v>
      </c>
      <c r="I4" s="189"/>
      <c r="J4" s="12"/>
      <c r="K4" s="13"/>
    </row>
    <row r="5" spans="1:14" s="17" customFormat="1" x14ac:dyDescent="0.25">
      <c r="C5" s="30"/>
      <c r="D5" s="30"/>
      <c r="E5" s="30"/>
      <c r="F5" s="30"/>
      <c r="G5" s="30"/>
      <c r="H5" s="188" t="s">
        <v>13</v>
      </c>
      <c r="I5" s="190"/>
      <c r="J5" s="62"/>
      <c r="K5" s="63"/>
    </row>
    <row r="6" spans="1:14" s="17" customFormat="1" x14ac:dyDescent="0.25">
      <c r="C6" s="30"/>
      <c r="D6" s="30"/>
      <c r="E6" s="30"/>
      <c r="F6" s="30"/>
      <c r="G6" s="30"/>
      <c r="H6" s="188" t="s">
        <v>15</v>
      </c>
      <c r="I6" s="190"/>
      <c r="J6" s="12"/>
      <c r="K6" s="13"/>
    </row>
    <row r="7" spans="1:14" s="17" customFormat="1" ht="15.75" thickBot="1" x14ac:dyDescent="0.3">
      <c r="C7" s="30"/>
      <c r="D7" s="30"/>
      <c r="E7" s="30"/>
      <c r="F7" s="30"/>
      <c r="G7" s="30"/>
      <c r="H7" s="188" t="s">
        <v>14</v>
      </c>
      <c r="I7" s="190"/>
      <c r="J7" s="12"/>
      <c r="K7" s="13"/>
    </row>
    <row r="8" spans="1:14" s="61" customFormat="1" ht="15.75" thickBot="1" x14ac:dyDescent="0.3">
      <c r="C8" s="79" t="s">
        <v>12</v>
      </c>
      <c r="D8" s="80" t="s">
        <v>68</v>
      </c>
      <c r="E8" s="80" t="s">
        <v>79</v>
      </c>
      <c r="F8" s="80" t="s">
        <v>69</v>
      </c>
      <c r="G8" s="80" t="s">
        <v>171</v>
      </c>
      <c r="H8" s="81" t="s">
        <v>79</v>
      </c>
      <c r="I8" s="82" t="s">
        <v>11</v>
      </c>
      <c r="J8" s="83" t="s">
        <v>54</v>
      </c>
      <c r="K8" s="83" t="s">
        <v>55</v>
      </c>
      <c r="L8" s="216" t="s">
        <v>169</v>
      </c>
    </row>
    <row r="9" spans="1:14" s="17" customFormat="1" x14ac:dyDescent="0.25">
      <c r="A9" s="211" t="s">
        <v>20</v>
      </c>
      <c r="B9" s="69" t="s">
        <v>102</v>
      </c>
      <c r="C9" s="179" t="s">
        <v>3</v>
      </c>
      <c r="D9" s="40">
        <v>3150</v>
      </c>
      <c r="E9" s="40" t="s">
        <v>9</v>
      </c>
      <c r="F9" s="40">
        <v>43400</v>
      </c>
      <c r="G9" s="154">
        <v>50</v>
      </c>
      <c r="H9" s="58" t="s">
        <v>9</v>
      </c>
      <c r="I9" s="185">
        <f>IF(OR(AND(I$2=0,I$5=0),I$5&gt;0),1,0)</f>
        <v>1</v>
      </c>
      <c r="J9" s="40">
        <f t="shared" ref="J9:J38" si="0">I9*$D9</f>
        <v>3150</v>
      </c>
      <c r="K9" s="40">
        <f t="shared" ref="K9:K38" si="1">I9*$F9</f>
        <v>43400</v>
      </c>
      <c r="L9" s="217">
        <f>I9*G9</f>
        <v>50</v>
      </c>
    </row>
    <row r="10" spans="1:14" s="17" customFormat="1" x14ac:dyDescent="0.25">
      <c r="A10" s="210"/>
      <c r="B10" s="70" t="s">
        <v>8</v>
      </c>
      <c r="C10" s="29" t="s">
        <v>3</v>
      </c>
      <c r="D10" s="18">
        <v>3460</v>
      </c>
      <c r="E10" s="18" t="s">
        <v>9</v>
      </c>
      <c r="F10" s="18">
        <v>11000</v>
      </c>
      <c r="G10" s="155">
        <v>26</v>
      </c>
      <c r="H10" s="32" t="s">
        <v>9</v>
      </c>
      <c r="I10" s="19">
        <f>IF(AND(I$2=1,I$5=0),1,0)</f>
        <v>0</v>
      </c>
      <c r="J10" s="18">
        <f t="shared" si="0"/>
        <v>0</v>
      </c>
      <c r="K10" s="18">
        <f t="shared" si="1"/>
        <v>0</v>
      </c>
      <c r="L10" s="218">
        <f t="shared" ref="L10:L38" si="2">I10*G10</f>
        <v>0</v>
      </c>
    </row>
    <row r="11" spans="1:14" s="17" customFormat="1" x14ac:dyDescent="0.25">
      <c r="A11" s="210"/>
      <c r="B11" s="71" t="s">
        <v>60</v>
      </c>
      <c r="C11" s="29" t="s">
        <v>6</v>
      </c>
      <c r="D11" s="27">
        <v>34</v>
      </c>
      <c r="E11" s="30" t="s">
        <v>5</v>
      </c>
      <c r="F11" s="27"/>
      <c r="G11" s="155">
        <v>18</v>
      </c>
      <c r="H11" s="31"/>
      <c r="I11" s="18">
        <f>1</f>
        <v>1</v>
      </c>
      <c r="J11" s="18">
        <f t="shared" si="0"/>
        <v>34</v>
      </c>
      <c r="K11" s="18">
        <f t="shared" si="1"/>
        <v>0</v>
      </c>
      <c r="L11" s="218">
        <f t="shared" si="2"/>
        <v>18</v>
      </c>
    </row>
    <row r="12" spans="1:14" s="17" customFormat="1" x14ac:dyDescent="0.25">
      <c r="A12" s="210"/>
      <c r="B12" s="70" t="s">
        <v>7</v>
      </c>
      <c r="C12" s="29" t="s">
        <v>3</v>
      </c>
      <c r="D12" s="18">
        <v>400</v>
      </c>
      <c r="E12" s="18" t="s">
        <v>5</v>
      </c>
      <c r="F12" s="18">
        <v>102</v>
      </c>
      <c r="G12" s="155">
        <v>10</v>
      </c>
      <c r="H12" s="32" t="s">
        <v>4</v>
      </c>
      <c r="I12" s="17">
        <f>1</f>
        <v>1</v>
      </c>
      <c r="J12" s="18">
        <f t="shared" si="0"/>
        <v>400</v>
      </c>
      <c r="K12" s="18">
        <f t="shared" si="1"/>
        <v>102</v>
      </c>
      <c r="L12" s="218">
        <f t="shared" si="2"/>
        <v>10</v>
      </c>
    </row>
    <row r="13" spans="1:14" s="17" customFormat="1" x14ac:dyDescent="0.25">
      <c r="A13" s="210"/>
      <c r="B13" s="70" t="s">
        <v>149</v>
      </c>
      <c r="C13" s="29" t="s">
        <v>3</v>
      </c>
      <c r="D13" s="18">
        <v>174</v>
      </c>
      <c r="E13" s="18" t="s">
        <v>5</v>
      </c>
      <c r="F13" s="18">
        <v>28</v>
      </c>
      <c r="G13" s="155">
        <v>6</v>
      </c>
      <c r="H13" s="32" t="s">
        <v>4</v>
      </c>
      <c r="I13" s="18">
        <f>IF(I10=1,1,0)</f>
        <v>0</v>
      </c>
      <c r="J13" s="18">
        <f t="shared" si="0"/>
        <v>0</v>
      </c>
      <c r="K13" s="18">
        <f t="shared" si="1"/>
        <v>0</v>
      </c>
      <c r="L13" s="218">
        <f t="shared" si="2"/>
        <v>0</v>
      </c>
    </row>
    <row r="14" spans="1:14" s="17" customFormat="1" x14ac:dyDescent="0.25">
      <c r="A14" s="210"/>
      <c r="B14" s="70" t="s">
        <v>150</v>
      </c>
      <c r="C14" s="29" t="s">
        <v>3</v>
      </c>
      <c r="D14" s="18">
        <v>136</v>
      </c>
      <c r="E14" s="18" t="s">
        <v>5</v>
      </c>
      <c r="F14" s="18">
        <v>34</v>
      </c>
      <c r="G14" s="155">
        <v>6</v>
      </c>
      <c r="H14" s="32" t="s">
        <v>4</v>
      </c>
      <c r="I14" s="18">
        <f>IF(I9=1,1,0)</f>
        <v>1</v>
      </c>
      <c r="J14" s="18">
        <f t="shared" si="0"/>
        <v>136</v>
      </c>
      <c r="K14" s="18">
        <f t="shared" si="1"/>
        <v>34</v>
      </c>
      <c r="L14" s="218">
        <f t="shared" si="2"/>
        <v>6</v>
      </c>
    </row>
    <row r="15" spans="1:14" s="17" customFormat="1" x14ac:dyDescent="0.25">
      <c r="A15" s="210"/>
      <c r="B15" s="72" t="s">
        <v>67</v>
      </c>
      <c r="C15" s="33" t="s">
        <v>6</v>
      </c>
      <c r="D15" s="18">
        <v>46.5</v>
      </c>
      <c r="E15" s="18" t="s">
        <v>5</v>
      </c>
      <c r="F15" s="34">
        <v>15</v>
      </c>
      <c r="G15" s="155">
        <v>2</v>
      </c>
      <c r="H15" s="31" t="s">
        <v>4</v>
      </c>
      <c r="I15" s="186">
        <f>IF(I9=1,0.5,1.5)</f>
        <v>0.5</v>
      </c>
      <c r="J15" s="18">
        <f t="shared" si="0"/>
        <v>23.25</v>
      </c>
      <c r="K15" s="18">
        <f t="shared" si="1"/>
        <v>7.5</v>
      </c>
      <c r="L15" s="218">
        <f t="shared" si="2"/>
        <v>1</v>
      </c>
      <c r="M15" s="94"/>
      <c r="N15" s="94"/>
    </row>
    <row r="16" spans="1:14" s="17" customFormat="1" x14ac:dyDescent="0.25">
      <c r="A16" s="210"/>
      <c r="B16" s="73" t="s">
        <v>161</v>
      </c>
      <c r="C16" s="38" t="s">
        <v>3</v>
      </c>
      <c r="D16" s="27">
        <v>26</v>
      </c>
      <c r="E16" s="18" t="s">
        <v>5</v>
      </c>
      <c r="F16" s="34">
        <v>3</v>
      </c>
      <c r="G16" s="156">
        <v>3</v>
      </c>
      <c r="H16" s="31" t="s">
        <v>4</v>
      </c>
      <c r="I16" s="19">
        <f>IF(I10=1,1,0)</f>
        <v>0</v>
      </c>
      <c r="J16" s="18">
        <f t="shared" si="0"/>
        <v>0</v>
      </c>
      <c r="K16" s="18">
        <f t="shared" si="1"/>
        <v>0</v>
      </c>
      <c r="L16" s="218">
        <f t="shared" si="2"/>
        <v>0</v>
      </c>
    </row>
    <row r="17" spans="1:15" s="17" customFormat="1" x14ac:dyDescent="0.25">
      <c r="A17" s="210"/>
      <c r="B17" s="72" t="s">
        <v>144</v>
      </c>
      <c r="C17" s="117" t="s">
        <v>6</v>
      </c>
      <c r="D17" s="27">
        <v>24</v>
      </c>
      <c r="E17" s="27" t="s">
        <v>5</v>
      </c>
      <c r="F17" s="34">
        <v>10</v>
      </c>
      <c r="G17" s="155">
        <v>1.2</v>
      </c>
      <c r="H17" s="31" t="s">
        <v>4</v>
      </c>
      <c r="I17" s="27">
        <f>1</f>
        <v>1</v>
      </c>
      <c r="J17" s="18">
        <f t="shared" si="0"/>
        <v>24</v>
      </c>
      <c r="K17" s="18">
        <f t="shared" si="1"/>
        <v>10</v>
      </c>
      <c r="L17" s="218">
        <f t="shared" si="2"/>
        <v>1.2</v>
      </c>
    </row>
    <row r="18" spans="1:15" s="17" customFormat="1" x14ac:dyDescent="0.25">
      <c r="A18" s="210"/>
      <c r="B18" s="72" t="s">
        <v>70</v>
      </c>
      <c r="C18" s="38" t="s">
        <v>6</v>
      </c>
      <c r="D18" s="35">
        <v>325</v>
      </c>
      <c r="E18" s="35" t="s">
        <v>5</v>
      </c>
      <c r="F18" s="39">
        <v>49</v>
      </c>
      <c r="G18" s="155">
        <v>13.5</v>
      </c>
      <c r="H18" s="187" t="s">
        <v>10</v>
      </c>
      <c r="I18" s="27">
        <f>IF(I9=1, 1.3, 0.7)</f>
        <v>1.3</v>
      </c>
      <c r="J18" s="18">
        <f t="shared" si="0"/>
        <v>422.5</v>
      </c>
      <c r="K18" s="18">
        <f t="shared" si="1"/>
        <v>63.7</v>
      </c>
      <c r="L18" s="218">
        <f t="shared" si="2"/>
        <v>17.55</v>
      </c>
    </row>
    <row r="19" spans="1:15" s="17" customFormat="1" x14ac:dyDescent="0.25">
      <c r="A19" s="210"/>
      <c r="B19" s="72" t="s">
        <v>142</v>
      </c>
      <c r="C19" s="38" t="s">
        <v>3</v>
      </c>
      <c r="D19" s="35">
        <v>54</v>
      </c>
      <c r="E19" s="35" t="s">
        <v>5</v>
      </c>
      <c r="F19" s="39">
        <v>7</v>
      </c>
      <c r="G19" s="155">
        <v>5.4</v>
      </c>
      <c r="H19" s="31" t="s">
        <v>4</v>
      </c>
      <c r="I19" s="27">
        <f>1</f>
        <v>1</v>
      </c>
      <c r="J19" s="18">
        <f t="shared" si="0"/>
        <v>54</v>
      </c>
      <c r="K19" s="18">
        <f t="shared" si="1"/>
        <v>7</v>
      </c>
      <c r="L19" s="218">
        <f t="shared" si="2"/>
        <v>5.4</v>
      </c>
      <c r="M19" s="94"/>
      <c r="N19" s="94"/>
    </row>
    <row r="20" spans="1:15" s="17" customFormat="1" x14ac:dyDescent="0.25">
      <c r="A20" s="210"/>
      <c r="B20" s="70" t="s">
        <v>63</v>
      </c>
      <c r="C20" s="36" t="s">
        <v>3</v>
      </c>
      <c r="D20" s="30">
        <v>15</v>
      </c>
      <c r="E20" s="30" t="s">
        <v>5</v>
      </c>
      <c r="F20" s="30">
        <v>2</v>
      </c>
      <c r="G20" s="156">
        <v>1.5</v>
      </c>
      <c r="H20" s="31" t="s">
        <v>4</v>
      </c>
      <c r="I20" s="18">
        <f>IF(I$10=1,5,2)</f>
        <v>2</v>
      </c>
      <c r="J20" s="18">
        <f t="shared" si="0"/>
        <v>30</v>
      </c>
      <c r="K20" s="18">
        <f t="shared" si="1"/>
        <v>4</v>
      </c>
      <c r="L20" s="218">
        <f t="shared" si="2"/>
        <v>3</v>
      </c>
    </row>
    <row r="21" spans="1:15" s="17" customFormat="1" ht="15.75" thickBot="1" x14ac:dyDescent="0.3">
      <c r="A21" s="210"/>
      <c r="B21" s="70" t="s">
        <v>84</v>
      </c>
      <c r="C21" s="38" t="s">
        <v>3</v>
      </c>
      <c r="D21" s="18">
        <v>73</v>
      </c>
      <c r="E21" s="18" t="s">
        <v>5</v>
      </c>
      <c r="F21" s="18">
        <v>60</v>
      </c>
      <c r="G21" s="157">
        <v>112</v>
      </c>
      <c r="H21" s="31" t="s">
        <v>4</v>
      </c>
      <c r="I21" s="27">
        <f>IF(I10=1,1,0)</f>
        <v>0</v>
      </c>
      <c r="J21" s="18">
        <f t="shared" si="0"/>
        <v>0</v>
      </c>
      <c r="K21" s="18">
        <f t="shared" si="1"/>
        <v>0</v>
      </c>
      <c r="L21" s="219">
        <f t="shared" si="2"/>
        <v>0</v>
      </c>
    </row>
    <row r="22" spans="1:15" s="17" customFormat="1" x14ac:dyDescent="0.25">
      <c r="A22" s="211" t="s">
        <v>17</v>
      </c>
      <c r="B22" s="184" t="s">
        <v>67</v>
      </c>
      <c r="C22" s="193" t="s">
        <v>6</v>
      </c>
      <c r="D22" s="40">
        <v>46</v>
      </c>
      <c r="E22" s="40" t="s">
        <v>5</v>
      </c>
      <c r="F22" s="194">
        <v>15</v>
      </c>
      <c r="G22" s="154">
        <v>1.95</v>
      </c>
      <c r="H22" s="195" t="s">
        <v>4</v>
      </c>
      <c r="I22" s="196">
        <f>IF(AND(I2=0,I5=0),I6+0.5, IF(AND(I2=0,I5&gt;0),I6-I5+0.5,I6-0.5))</f>
        <v>0.5</v>
      </c>
      <c r="J22" s="40">
        <f t="shared" si="0"/>
        <v>23</v>
      </c>
      <c r="K22" s="40">
        <f t="shared" si="1"/>
        <v>7.5</v>
      </c>
      <c r="L22" s="217">
        <f t="shared" si="2"/>
        <v>0.97499999999999998</v>
      </c>
      <c r="N22" s="94"/>
      <c r="O22" s="94"/>
    </row>
    <row r="23" spans="1:15" s="17" customFormat="1" x14ac:dyDescent="0.25">
      <c r="A23" s="210"/>
      <c r="B23" s="70" t="s">
        <v>63</v>
      </c>
      <c r="C23" s="30" t="s">
        <v>3</v>
      </c>
      <c r="D23" s="30">
        <v>15</v>
      </c>
      <c r="E23" s="30" t="s">
        <v>5</v>
      </c>
      <c r="F23" s="30">
        <v>2</v>
      </c>
      <c r="G23" s="156">
        <v>1.5</v>
      </c>
      <c r="H23" s="30" t="s">
        <v>4</v>
      </c>
      <c r="I23" s="29">
        <f>6</f>
        <v>6</v>
      </c>
      <c r="J23" s="18">
        <f t="shared" si="0"/>
        <v>90</v>
      </c>
      <c r="K23" s="18">
        <f t="shared" si="1"/>
        <v>12</v>
      </c>
      <c r="L23" s="218">
        <f t="shared" si="2"/>
        <v>9</v>
      </c>
      <c r="N23" s="94"/>
      <c r="O23" s="94"/>
    </row>
    <row r="24" spans="1:15" s="17" customFormat="1" x14ac:dyDescent="0.25">
      <c r="A24" s="210"/>
      <c r="B24" s="73" t="s">
        <v>151</v>
      </c>
      <c r="C24" s="18" t="s">
        <v>3</v>
      </c>
      <c r="D24" s="18">
        <v>131</v>
      </c>
      <c r="E24" s="18" t="s">
        <v>5</v>
      </c>
      <c r="F24" s="37">
        <v>15</v>
      </c>
      <c r="G24" s="156">
        <v>3.12</v>
      </c>
      <c r="H24" s="30" t="s">
        <v>4</v>
      </c>
      <c r="I24" s="29">
        <f>1</f>
        <v>1</v>
      </c>
      <c r="J24" s="18">
        <f t="shared" si="0"/>
        <v>131</v>
      </c>
      <c r="K24" s="18">
        <f t="shared" si="1"/>
        <v>15</v>
      </c>
      <c r="L24" s="218">
        <f t="shared" si="2"/>
        <v>3.12</v>
      </c>
      <c r="N24" s="94"/>
      <c r="O24" s="94"/>
    </row>
    <row r="25" spans="1:15" s="17" customFormat="1" ht="15.75" thickBot="1" x14ac:dyDescent="0.3">
      <c r="A25" s="212"/>
      <c r="B25" s="74" t="s">
        <v>70</v>
      </c>
      <c r="C25" s="197" t="s">
        <v>6</v>
      </c>
      <c r="D25" s="197">
        <v>325</v>
      </c>
      <c r="E25" s="197" t="s">
        <v>5</v>
      </c>
      <c r="F25" s="198">
        <v>49</v>
      </c>
      <c r="G25" s="155">
        <v>13.5</v>
      </c>
      <c r="H25" s="199" t="s">
        <v>10</v>
      </c>
      <c r="I25" s="64">
        <f xml:space="preserve"> IF(AND(I$2=0,I$5=0),2,
IF(I$5&gt;0,I$5+4,0))</f>
        <v>2</v>
      </c>
      <c r="J25" s="21">
        <f t="shared" si="0"/>
        <v>650</v>
      </c>
      <c r="K25" s="21">
        <f t="shared" si="1"/>
        <v>98</v>
      </c>
      <c r="L25" s="218">
        <f t="shared" si="2"/>
        <v>27</v>
      </c>
      <c r="M25" s="94"/>
      <c r="N25" s="94"/>
    </row>
    <row r="26" spans="1:15" s="17" customFormat="1" x14ac:dyDescent="0.25">
      <c r="A26" s="210" t="s">
        <v>18</v>
      </c>
      <c r="B26" s="75" t="s">
        <v>84</v>
      </c>
      <c r="C26" s="38" t="s">
        <v>3</v>
      </c>
      <c r="D26" s="18">
        <v>73</v>
      </c>
      <c r="E26" s="18" t="s">
        <v>5</v>
      </c>
      <c r="F26" s="18">
        <v>60</v>
      </c>
      <c r="G26" s="159">
        <v>112</v>
      </c>
      <c r="H26" s="31" t="s">
        <v>4</v>
      </c>
      <c r="I26" s="192">
        <f xml:space="preserve"> IF(AND(OR(AND(I$2=0,I$5=0),I$5&gt;0),I$6&lt;11), ROUNDDOWN(I$6-I$5,0),
IF(AND(OR(AND(I$2=0,I$5=0),I$5&gt;0),I$6&gt;10,I$6&lt;55),ROUNDDOWN(I$7+0.5,0),
IF(AND(OR(AND(I$2=0,I$5=0),I$5&gt;0),I$6&gt;=55),ROUNDUP(I$7/2+0.5,0),
IF(AND(I$2=1,I$5=0,I$6&lt;11),ROUNDDOWN(I$6-1,0),
IF(AND(I$2=1,I$5=0,I$6&gt;10,I$6&lt;55),ROUNDDOWN(I$7+0.5,0)-1,
IF(AND(I$2=1,I$5=0,I$6&gt;=55),ROUNDUP(I$7/2+0.5,0)-1))))))</f>
        <v>0</v>
      </c>
      <c r="J26" s="18">
        <f t="shared" si="0"/>
        <v>0</v>
      </c>
      <c r="K26" s="18">
        <f t="shared" si="1"/>
        <v>0</v>
      </c>
      <c r="L26" s="217">
        <f t="shared" si="2"/>
        <v>0</v>
      </c>
      <c r="M26" s="94"/>
      <c r="N26" s="94"/>
    </row>
    <row r="27" spans="1:15" s="17" customFormat="1" x14ac:dyDescent="0.25">
      <c r="A27" s="210"/>
      <c r="B27" s="75" t="s">
        <v>85</v>
      </c>
      <c r="C27" s="38" t="s">
        <v>3</v>
      </c>
      <c r="D27" s="18">
        <v>73</v>
      </c>
      <c r="E27" s="18" t="s">
        <v>5</v>
      </c>
      <c r="F27" s="18">
        <v>60</v>
      </c>
      <c r="G27" s="156">
        <v>112</v>
      </c>
      <c r="H27" s="31" t="s">
        <v>4</v>
      </c>
      <c r="I27" s="65">
        <f>IF(I$6&lt;11,0,
IF(AND(OR(AND(I$2=0,I$5=0),AND(I$2=1,I$5=0)),I$6&gt;10,I$6-0.5-I$7&lt;4),1,
IF(AND(OR(AND(I$2=0,I$5=0),AND(I$2=1,I$5=0)),I$6&gt;10,I$6-0.5-I$7&gt;=4),ROUNDDOWN((I$6-0.5-I$7)/4,0),
IF(AND(I$5&gt;0,I$6&gt;10,I$6-I$5-I$7&lt;4),1,
IF(AND(I$5&gt;0,I$6&gt;10,I$6-I$5-I$7&gt;=4),ROUNDDOWN((I$6-I$5-I$7)/4,0))))))</f>
        <v>0</v>
      </c>
      <c r="J27" s="18">
        <f t="shared" si="0"/>
        <v>0</v>
      </c>
      <c r="K27" s="18">
        <f t="shared" si="1"/>
        <v>0</v>
      </c>
      <c r="L27" s="218">
        <f t="shared" si="2"/>
        <v>0</v>
      </c>
      <c r="M27" s="94"/>
      <c r="N27" s="94"/>
    </row>
    <row r="28" spans="1:15" s="17" customFormat="1" x14ac:dyDescent="0.25">
      <c r="A28" s="210"/>
      <c r="B28" s="72" t="s">
        <v>71</v>
      </c>
      <c r="C28" s="38" t="s">
        <v>3</v>
      </c>
      <c r="D28" s="27">
        <v>2</v>
      </c>
      <c r="E28" s="27" t="s">
        <v>5</v>
      </c>
      <c r="F28" s="34">
        <v>0.3</v>
      </c>
      <c r="G28" s="156">
        <v>0.3</v>
      </c>
      <c r="H28" s="41" t="s">
        <v>4</v>
      </c>
      <c r="I28" s="29">
        <f>(I$26+I$27)*2</f>
        <v>0</v>
      </c>
      <c r="J28" s="18">
        <f t="shared" si="0"/>
        <v>0</v>
      </c>
      <c r="K28" s="18">
        <f t="shared" si="1"/>
        <v>0</v>
      </c>
      <c r="L28" s="218">
        <f t="shared" si="2"/>
        <v>0</v>
      </c>
      <c r="M28" s="94"/>
      <c r="N28" s="94"/>
    </row>
    <row r="29" spans="1:15" s="17" customFormat="1" x14ac:dyDescent="0.25">
      <c r="A29" s="210"/>
      <c r="B29" s="72" t="s">
        <v>59</v>
      </c>
      <c r="C29" s="38" t="s">
        <v>38</v>
      </c>
      <c r="D29" s="35">
        <v>6</v>
      </c>
      <c r="E29" s="35" t="s">
        <v>5</v>
      </c>
      <c r="F29" s="42">
        <v>6</v>
      </c>
      <c r="G29" s="156">
        <v>1.6</v>
      </c>
      <c r="H29" s="43" t="s">
        <v>4</v>
      </c>
      <c r="I29" s="29">
        <f>(I$26+I$27)*0.03</f>
        <v>0</v>
      </c>
      <c r="J29" s="18">
        <f t="shared" si="0"/>
        <v>0</v>
      </c>
      <c r="K29" s="18">
        <f t="shared" si="1"/>
        <v>0</v>
      </c>
      <c r="L29" s="218">
        <f t="shared" si="2"/>
        <v>0</v>
      </c>
      <c r="M29" s="94"/>
      <c r="N29" s="94"/>
    </row>
    <row r="30" spans="1:15" s="17" customFormat="1" x14ac:dyDescent="0.25">
      <c r="A30" s="210"/>
      <c r="B30" s="72" t="s">
        <v>64</v>
      </c>
      <c r="C30" s="38" t="s">
        <v>3</v>
      </c>
      <c r="D30" s="27">
        <v>4</v>
      </c>
      <c r="E30" s="27" t="s">
        <v>5</v>
      </c>
      <c r="F30" s="34">
        <v>8</v>
      </c>
      <c r="G30" s="156">
        <v>0.1</v>
      </c>
      <c r="H30" s="31" t="s">
        <v>4</v>
      </c>
      <c r="I30" s="29">
        <f>I$26+I$27</f>
        <v>0</v>
      </c>
      <c r="J30" s="18">
        <f t="shared" si="0"/>
        <v>0</v>
      </c>
      <c r="K30" s="18">
        <f t="shared" si="1"/>
        <v>0</v>
      </c>
      <c r="L30" s="218">
        <f t="shared" si="2"/>
        <v>0</v>
      </c>
      <c r="M30" s="94"/>
      <c r="N30" s="94"/>
    </row>
    <row r="31" spans="1:15" s="17" customFormat="1" x14ac:dyDescent="0.25">
      <c r="A31" s="210"/>
      <c r="B31" s="73" t="s">
        <v>61</v>
      </c>
      <c r="C31" s="38" t="s">
        <v>3</v>
      </c>
      <c r="D31" s="27">
        <v>66</v>
      </c>
      <c r="E31" s="27" t="s">
        <v>5</v>
      </c>
      <c r="F31" s="34">
        <v>10</v>
      </c>
      <c r="G31" s="156">
        <v>4.62</v>
      </c>
      <c r="H31" s="31" t="s">
        <v>4</v>
      </c>
      <c r="I31" s="29">
        <f>1</f>
        <v>1</v>
      </c>
      <c r="J31" s="18">
        <f t="shared" si="0"/>
        <v>66</v>
      </c>
      <c r="K31" s="18">
        <f t="shared" si="1"/>
        <v>10</v>
      </c>
      <c r="L31" s="218">
        <f t="shared" si="2"/>
        <v>4.62</v>
      </c>
      <c r="M31" s="94"/>
      <c r="N31" s="94"/>
    </row>
    <row r="32" spans="1:15" s="17" customFormat="1" x14ac:dyDescent="0.25">
      <c r="A32" s="210"/>
      <c r="B32" s="70" t="s">
        <v>62</v>
      </c>
      <c r="C32" s="38" t="s">
        <v>3</v>
      </c>
      <c r="D32" s="18">
        <v>180</v>
      </c>
      <c r="E32" s="18" t="s">
        <v>5</v>
      </c>
      <c r="F32" s="37">
        <v>40</v>
      </c>
      <c r="G32" s="156">
        <v>16.48</v>
      </c>
      <c r="H32" s="31" t="s">
        <v>4</v>
      </c>
      <c r="I32" s="29">
        <f>IF(I$4=0,0,1)</f>
        <v>0</v>
      </c>
      <c r="J32" s="18">
        <f t="shared" si="0"/>
        <v>0</v>
      </c>
      <c r="K32" s="18">
        <f t="shared" si="1"/>
        <v>0</v>
      </c>
      <c r="L32" s="218">
        <f t="shared" si="2"/>
        <v>0</v>
      </c>
      <c r="M32" s="94"/>
      <c r="N32" s="94"/>
      <c r="O32" s="94"/>
    </row>
    <row r="33" spans="1:15" s="17" customFormat="1" x14ac:dyDescent="0.25">
      <c r="A33" s="210"/>
      <c r="B33" s="70" t="s">
        <v>63</v>
      </c>
      <c r="C33" s="36" t="s">
        <v>3</v>
      </c>
      <c r="D33" s="30">
        <v>15</v>
      </c>
      <c r="E33" s="30" t="s">
        <v>5</v>
      </c>
      <c r="F33" s="30">
        <v>2</v>
      </c>
      <c r="G33" s="156">
        <v>1.5</v>
      </c>
      <c r="H33" s="31" t="s">
        <v>4</v>
      </c>
      <c r="I33" s="29">
        <f>6+I$26+I$27</f>
        <v>6</v>
      </c>
      <c r="J33" s="18">
        <f t="shared" si="0"/>
        <v>90</v>
      </c>
      <c r="K33" s="18">
        <f t="shared" si="1"/>
        <v>12</v>
      </c>
      <c r="L33" s="218">
        <f t="shared" si="2"/>
        <v>9</v>
      </c>
      <c r="M33" s="94"/>
      <c r="N33" s="94"/>
      <c r="O33" s="94"/>
    </row>
    <row r="34" spans="1:15" s="17" customFormat="1" x14ac:dyDescent="0.25">
      <c r="A34" s="210"/>
      <c r="B34" s="72" t="s">
        <v>67</v>
      </c>
      <c r="C34" s="33" t="s">
        <v>6</v>
      </c>
      <c r="D34" s="18">
        <v>46</v>
      </c>
      <c r="E34" s="18" t="s">
        <v>5</v>
      </c>
      <c r="F34" s="34">
        <v>15</v>
      </c>
      <c r="G34" s="155">
        <v>1.95</v>
      </c>
      <c r="H34" s="31" t="s">
        <v>4</v>
      </c>
      <c r="I34" s="117">
        <f>IF(I$6&lt;10,I$26+0.5,
IF(AND(OR(AND(I$2=0,I$5=0),AND(I$2=1,I$5=0)),I$6&gt;=10,I$6-0.5-I$7&lt;4),I$6,
IF(AND(OR(AND(I$2=0,I$5=0),AND(I$2=1,I$5=0)),I$6&gt;=10,I$6&lt;55,I$6-0.5-I$7&gt;=4),I$26+I$27*4+0.5,
IF(AND(OR(AND(I$2=0,I$5=0),AND(I$2=1,I$5=0)),I$6&gt;=55,I$6-0.5-I$7&gt;=4),I$26*2+I$27*4+0.5,
IF(AND(I$5&gt;0,I$6&gt;=10,I$6-I$5-I$7&lt;4),I$6-I$5+0.5,
IF(AND(I$5&gt;0,I$6&gt;=10,I$6&lt;55,I$6-I$5-I$7&gt;=4),I$26+I$27*4+0.5,
IF(AND(I$5&gt;0,I$6&gt;=55,I$6-I$5-I$7&gt;=4),I$26*2+I$27*4+0.5)))))))</f>
        <v>0.5</v>
      </c>
      <c r="J34" s="18">
        <f t="shared" si="0"/>
        <v>23</v>
      </c>
      <c r="K34" s="18">
        <f t="shared" si="1"/>
        <v>7.5</v>
      </c>
      <c r="L34" s="218">
        <f t="shared" si="2"/>
        <v>0.97499999999999998</v>
      </c>
    </row>
    <row r="35" spans="1:15" s="17" customFormat="1" ht="15.75" thickBot="1" x14ac:dyDescent="0.3">
      <c r="A35" s="210"/>
      <c r="B35" s="70" t="s">
        <v>65</v>
      </c>
      <c r="C35" s="117" t="s">
        <v>3</v>
      </c>
      <c r="D35" s="18">
        <v>1000</v>
      </c>
      <c r="E35" s="18" t="s">
        <v>9</v>
      </c>
      <c r="F35" s="37">
        <v>150</v>
      </c>
      <c r="G35" s="158">
        <v>4</v>
      </c>
      <c r="H35" s="31" t="s">
        <v>36</v>
      </c>
      <c r="I35" s="29">
        <f>1</f>
        <v>1</v>
      </c>
      <c r="J35" s="18">
        <f t="shared" si="0"/>
        <v>1000</v>
      </c>
      <c r="K35" s="18">
        <f t="shared" si="1"/>
        <v>150</v>
      </c>
      <c r="L35" s="219">
        <f t="shared" si="2"/>
        <v>4</v>
      </c>
      <c r="N35" s="94"/>
    </row>
    <row r="36" spans="1:15" s="22" customFormat="1" x14ac:dyDescent="0.25">
      <c r="A36" s="211" t="s">
        <v>19</v>
      </c>
      <c r="B36" s="69" t="s">
        <v>66</v>
      </c>
      <c r="C36" s="45"/>
      <c r="D36" s="46">
        <v>3000</v>
      </c>
      <c r="E36" s="46" t="s">
        <v>9</v>
      </c>
      <c r="F36" s="46"/>
      <c r="G36" s="159">
        <v>15</v>
      </c>
      <c r="H36" s="47"/>
      <c r="I36" s="66">
        <f>1</f>
        <v>1</v>
      </c>
      <c r="J36" s="200">
        <f t="shared" si="0"/>
        <v>3000</v>
      </c>
      <c r="K36" s="200">
        <f t="shared" si="1"/>
        <v>0</v>
      </c>
      <c r="L36" s="217">
        <f t="shared" si="2"/>
        <v>15</v>
      </c>
      <c r="M36" s="17"/>
      <c r="N36" s="94"/>
    </row>
    <row r="37" spans="1:15" s="22" customFormat="1" x14ac:dyDescent="0.25">
      <c r="A37" s="210"/>
      <c r="B37" s="72" t="s">
        <v>70</v>
      </c>
      <c r="C37" s="48" t="s">
        <v>6</v>
      </c>
      <c r="D37" s="49">
        <v>325</v>
      </c>
      <c r="E37" s="49" t="s">
        <v>5</v>
      </c>
      <c r="F37" s="50">
        <v>48.7</v>
      </c>
      <c r="G37" s="155">
        <v>13.5</v>
      </c>
      <c r="H37" s="51" t="s">
        <v>10</v>
      </c>
      <c r="I37" s="67">
        <f>IF(AND(I$2=1,I$5=0),0.5,0)</f>
        <v>0</v>
      </c>
      <c r="J37" s="201">
        <f t="shared" si="0"/>
        <v>0</v>
      </c>
      <c r="K37" s="201">
        <f t="shared" si="1"/>
        <v>0</v>
      </c>
      <c r="L37" s="218">
        <f>I37*G37</f>
        <v>0</v>
      </c>
      <c r="M37" s="94"/>
      <c r="N37" s="94"/>
    </row>
    <row r="38" spans="1:15" s="22" customFormat="1" ht="15.75" thickBot="1" x14ac:dyDescent="0.3">
      <c r="A38" s="212"/>
      <c r="B38" s="74" t="s">
        <v>167</v>
      </c>
      <c r="C38" s="52" t="s">
        <v>6</v>
      </c>
      <c r="D38" s="53">
        <v>59</v>
      </c>
      <c r="E38" s="53" t="s">
        <v>5</v>
      </c>
      <c r="F38" s="54">
        <v>10</v>
      </c>
      <c r="G38" s="158">
        <v>1.2</v>
      </c>
      <c r="H38" s="55" t="s">
        <v>4</v>
      </c>
      <c r="I38" s="68">
        <f>IF(I5&gt;0,1,0)</f>
        <v>0</v>
      </c>
      <c r="J38" s="202">
        <f t="shared" si="0"/>
        <v>0</v>
      </c>
      <c r="K38" s="202">
        <f t="shared" si="1"/>
        <v>0</v>
      </c>
      <c r="L38" s="219">
        <f t="shared" si="2"/>
        <v>0</v>
      </c>
      <c r="M38" s="94"/>
      <c r="N38" s="94"/>
    </row>
    <row r="39" spans="1:15" s="16" customFormat="1" ht="15.75" x14ac:dyDescent="0.25">
      <c r="A39" s="17"/>
      <c r="B39" s="17"/>
      <c r="C39" s="30"/>
      <c r="D39" s="30"/>
      <c r="E39" s="30"/>
      <c r="F39" s="30"/>
      <c r="G39" s="30"/>
      <c r="H39" s="30"/>
      <c r="I39" s="18"/>
      <c r="J39" s="18"/>
      <c r="K39" s="18"/>
      <c r="L39" s="220" t="s">
        <v>170</v>
      </c>
    </row>
    <row r="40" spans="1:15" ht="15.75" thickBot="1" x14ac:dyDescent="0.3">
      <c r="I40" s="23"/>
      <c r="J40" s="23"/>
      <c r="K40" s="23"/>
      <c r="L40" s="219">
        <f>SUM(L9:L38)</f>
        <v>185.84</v>
      </c>
    </row>
    <row r="41" spans="1:15" x14ac:dyDescent="0.25">
      <c r="H41" s="96" t="s">
        <v>56</v>
      </c>
      <c r="J41" s="87">
        <f>SUM(J$9:J$35)/1000</f>
        <v>6.3467500000000001</v>
      </c>
      <c r="K41" s="88">
        <f>SUM(K$9:K$35)/1000</f>
        <v>43.940199999999997</v>
      </c>
    </row>
    <row r="42" spans="1:15" x14ac:dyDescent="0.25">
      <c r="H42" s="97" t="s">
        <v>57</v>
      </c>
      <c r="J42" s="89">
        <f>J41-(SUM(J$9:J$10)/1000)</f>
        <v>3.1967500000000002</v>
      </c>
      <c r="K42" s="24">
        <f>K41-(SUM(K$9:K$10)/1000)</f>
        <v>0.54019999999999868</v>
      </c>
    </row>
    <row r="43" spans="1:15" x14ac:dyDescent="0.25">
      <c r="H43" s="97" t="s">
        <v>80</v>
      </c>
      <c r="J43" s="90">
        <f>SUM(J$9:J$10)/1000</f>
        <v>3.15</v>
      </c>
      <c r="K43" s="91">
        <f>SUM(K$9:K$10)/1000</f>
        <v>43.4</v>
      </c>
    </row>
    <row r="44" spans="1:15" x14ac:dyDescent="0.25">
      <c r="H44" s="97" t="s">
        <v>58</v>
      </c>
      <c r="J44" s="89">
        <f>J$42-K$42</f>
        <v>2.6565500000000015</v>
      </c>
      <c r="K44" s="91"/>
    </row>
    <row r="45" spans="1:15" ht="15.75" thickBot="1" x14ac:dyDescent="0.3">
      <c r="H45" s="110" t="s">
        <v>83</v>
      </c>
      <c r="J45" s="93">
        <f>J$44+(J$44*30/100)</f>
        <v>3.4535150000000021</v>
      </c>
      <c r="K45" s="92"/>
    </row>
    <row r="46" spans="1:15" ht="15.75" thickBot="1" x14ac:dyDescent="0.3">
      <c r="H46" s="23"/>
      <c r="J46" s="23"/>
      <c r="K46" s="23"/>
    </row>
    <row r="47" spans="1:15" ht="30" x14ac:dyDescent="0.25">
      <c r="F47" s="94"/>
      <c r="G47" s="94"/>
      <c r="H47" s="111" t="s">
        <v>2</v>
      </c>
      <c r="J47" s="180"/>
    </row>
    <row r="48" spans="1:15" x14ac:dyDescent="0.25">
      <c r="F48" s="95"/>
      <c r="G48" s="95"/>
      <c r="H48" s="112" t="s">
        <v>1</v>
      </c>
      <c r="J48" s="181">
        <f>J47-K$42</f>
        <v>-0.54019999999999868</v>
      </c>
      <c r="K48" s="16"/>
    </row>
    <row r="49" spans="1:11" ht="15.75" thickBot="1" x14ac:dyDescent="0.3">
      <c r="F49" s="94"/>
      <c r="G49" s="94"/>
      <c r="H49" s="113" t="s">
        <v>0</v>
      </c>
      <c r="J49" s="182">
        <f>J42-J47</f>
        <v>3.1967500000000002</v>
      </c>
      <c r="K49" s="16"/>
    </row>
    <row r="50" spans="1:11" x14ac:dyDescent="0.25">
      <c r="F50" s="95"/>
      <c r="G50" s="95"/>
    </row>
    <row r="61" spans="1:11" s="17" customFormat="1" x14ac:dyDescent="0.25">
      <c r="A61" s="26"/>
      <c r="B61" s="25"/>
      <c r="C61" s="44"/>
      <c r="D61" s="18"/>
      <c r="E61" s="18"/>
      <c r="F61" s="34"/>
      <c r="G61" s="34"/>
      <c r="H61" s="30"/>
      <c r="I61" s="18"/>
      <c r="J61" s="18"/>
      <c r="K61" s="18"/>
    </row>
    <row r="62" spans="1:11" s="17" customFormat="1" x14ac:dyDescent="0.25">
      <c r="A62" s="26"/>
      <c r="B62" s="25"/>
      <c r="C62" s="30"/>
      <c r="D62" s="30"/>
      <c r="E62" s="30"/>
      <c r="F62" s="30"/>
      <c r="G62" s="30"/>
      <c r="H62" s="30"/>
      <c r="I62" s="18"/>
      <c r="J62" s="18"/>
      <c r="K62" s="18"/>
    </row>
    <row r="63" spans="1:11" s="17" customFormat="1" x14ac:dyDescent="0.25">
      <c r="A63" s="26"/>
      <c r="B63" s="25"/>
      <c r="C63" s="56"/>
      <c r="D63" s="30"/>
      <c r="E63" s="30"/>
      <c r="F63" s="30"/>
      <c r="G63" s="30"/>
      <c r="H63" s="30"/>
      <c r="I63" s="18"/>
      <c r="J63" s="18"/>
      <c r="K63" s="18"/>
    </row>
    <row r="64" spans="1:11" s="17" customFormat="1" x14ac:dyDescent="0.25">
      <c r="A64" s="26"/>
      <c r="B64" s="20"/>
      <c r="C64" s="35"/>
      <c r="D64" s="27"/>
      <c r="E64" s="27"/>
      <c r="F64" s="34"/>
      <c r="G64" s="34"/>
      <c r="H64" s="30"/>
      <c r="I64" s="18"/>
      <c r="J64" s="18"/>
      <c r="K64" s="18"/>
    </row>
    <row r="65" spans="3:11" s="17" customFormat="1" x14ac:dyDescent="0.25">
      <c r="C65" s="30"/>
      <c r="D65" s="30"/>
      <c r="E65" s="30"/>
      <c r="F65" s="30"/>
      <c r="G65" s="30"/>
      <c r="H65" s="30"/>
    </row>
    <row r="66" spans="3:11" s="17" customFormat="1" x14ac:dyDescent="0.25">
      <c r="C66" s="30"/>
      <c r="D66" s="30"/>
      <c r="E66" s="30"/>
      <c r="F66" s="30"/>
      <c r="G66" s="30"/>
      <c r="H66" s="30"/>
    </row>
    <row r="67" spans="3:11" s="17" customFormat="1" x14ac:dyDescent="0.25">
      <c r="C67" s="30"/>
      <c r="D67" s="30"/>
      <c r="E67" s="30"/>
      <c r="F67" s="30"/>
      <c r="G67" s="30"/>
      <c r="H67" s="57"/>
      <c r="I67" s="18"/>
      <c r="J67" s="18"/>
      <c r="K67" s="18"/>
    </row>
    <row r="68" spans="3:11" s="17" customFormat="1" x14ac:dyDescent="0.25">
      <c r="C68" s="30"/>
      <c r="D68" s="30"/>
      <c r="E68" s="30"/>
      <c r="F68" s="30"/>
      <c r="G68" s="30"/>
      <c r="H68" s="57"/>
      <c r="I68" s="18"/>
      <c r="J68" s="18"/>
      <c r="K68" s="18"/>
    </row>
    <row r="69" spans="3:11" s="17" customFormat="1" x14ac:dyDescent="0.25">
      <c r="C69" s="30"/>
      <c r="D69" s="30"/>
      <c r="E69" s="30"/>
      <c r="F69" s="30"/>
      <c r="G69" s="30"/>
      <c r="H69" s="57"/>
      <c r="I69" s="18"/>
      <c r="J69" s="18"/>
      <c r="K69" s="18"/>
    </row>
    <row r="70" spans="3:11" s="17" customFormat="1" x14ac:dyDescent="0.25">
      <c r="C70" s="30"/>
      <c r="D70" s="30"/>
      <c r="E70" s="30"/>
      <c r="F70" s="30"/>
      <c r="G70" s="30"/>
      <c r="H70" s="57"/>
      <c r="I70" s="18"/>
      <c r="J70" s="19"/>
      <c r="K70" s="19"/>
    </row>
    <row r="71" spans="3:11" s="17" customFormat="1" x14ac:dyDescent="0.25">
      <c r="C71" s="30"/>
      <c r="D71" s="30"/>
      <c r="E71" s="30"/>
      <c r="F71" s="30"/>
      <c r="G71" s="30"/>
      <c r="H71" s="57"/>
      <c r="I71" s="18"/>
      <c r="J71" s="18"/>
      <c r="K71" s="18"/>
    </row>
    <row r="72" spans="3:11" s="17" customFormat="1" x14ac:dyDescent="0.25">
      <c r="C72" s="30"/>
      <c r="D72" s="30"/>
      <c r="E72" s="30"/>
      <c r="F72" s="30"/>
      <c r="G72" s="30"/>
      <c r="H72" s="57"/>
      <c r="I72" s="18"/>
      <c r="J72" s="18"/>
      <c r="K72" s="18"/>
    </row>
    <row r="73" spans="3:11" s="17" customFormat="1" x14ac:dyDescent="0.25">
      <c r="C73" s="30"/>
      <c r="D73" s="30"/>
      <c r="E73" s="30"/>
      <c r="F73" s="30"/>
      <c r="G73" s="30"/>
      <c r="H73" s="18"/>
    </row>
  </sheetData>
  <mergeCells count="5">
    <mergeCell ref="A26:A35"/>
    <mergeCell ref="A22:A25"/>
    <mergeCell ref="A36:A38"/>
    <mergeCell ref="A9:A21"/>
    <mergeCell ref="I1:K1"/>
  </mergeCells>
  <pageMargins left="0.25" right="0.25" top="0.75" bottom="0.75" header="0.3" footer="0.3"/>
  <pageSetup paperSize="9" scale="36" orientation="landscape" r:id="rId1"/>
  <ignoredErrors>
    <ignoredError sqref="I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32" sqref="E32"/>
    </sheetView>
  </sheetViews>
  <sheetFormatPr baseColWidth="10" defaultRowHeight="15" x14ac:dyDescent="0.25"/>
  <cols>
    <col min="1" max="1" width="16.7109375" bestFit="1" customWidth="1"/>
    <col min="2" max="2" width="8.28515625" bestFit="1" customWidth="1"/>
    <col min="3" max="3" width="11" bestFit="1" customWidth="1"/>
    <col min="4" max="4" width="6.140625" bestFit="1" customWidth="1"/>
    <col min="5" max="5" width="43.85546875" customWidth="1"/>
    <col min="6" max="6" width="22.85546875" customWidth="1"/>
    <col min="7" max="7" width="34" customWidth="1"/>
    <col min="10" max="10" width="12.85546875" bestFit="1" customWidth="1"/>
  </cols>
  <sheetData>
    <row r="1" spans="1:11" ht="31.5" x14ac:dyDescent="0.25">
      <c r="A1" s="98" t="s">
        <v>48</v>
      </c>
      <c r="B1" s="98" t="s">
        <v>49</v>
      </c>
      <c r="C1" s="98" t="s">
        <v>15</v>
      </c>
      <c r="D1" s="99" t="s">
        <v>50</v>
      </c>
      <c r="E1" s="100" t="s">
        <v>86</v>
      </c>
      <c r="F1" s="100" t="s">
        <v>87</v>
      </c>
      <c r="G1" s="101" t="s">
        <v>88</v>
      </c>
      <c r="J1" t="s">
        <v>42</v>
      </c>
      <c r="K1" t="s">
        <v>43</v>
      </c>
    </row>
    <row r="2" spans="1:11" ht="63" x14ac:dyDescent="0.25">
      <c r="A2" s="102"/>
      <c r="B2" s="102"/>
      <c r="C2" s="102"/>
      <c r="D2" s="103"/>
      <c r="E2" s="104" t="s">
        <v>51</v>
      </c>
      <c r="F2" s="104" t="s">
        <v>52</v>
      </c>
      <c r="G2" s="105" t="s">
        <v>154</v>
      </c>
      <c r="J2" t="s">
        <v>50</v>
      </c>
      <c r="K2" t="s">
        <v>93</v>
      </c>
    </row>
    <row r="3" spans="1:11" ht="15.75" x14ac:dyDescent="0.25">
      <c r="A3" s="103" t="s">
        <v>89</v>
      </c>
      <c r="B3" s="106">
        <v>0.4</v>
      </c>
      <c r="C3" s="106">
        <v>12</v>
      </c>
      <c r="D3" s="107">
        <f>(45.7*B3^0.5)/(21.4+B3^0.5)</f>
        <v>1.3118473232325694</v>
      </c>
      <c r="E3" s="107">
        <f>(C3-D3)/2</f>
        <v>5.3440763383837151</v>
      </c>
      <c r="F3" s="108">
        <f>E3*2</f>
        <v>10.68815267676743</v>
      </c>
      <c r="G3" s="109" t="s">
        <v>90</v>
      </c>
      <c r="J3" t="s">
        <v>94</v>
      </c>
      <c r="K3" t="s">
        <v>95</v>
      </c>
    </row>
    <row r="4" spans="1:11" ht="15.75" x14ac:dyDescent="0.25">
      <c r="A4" s="109" t="s">
        <v>91</v>
      </c>
      <c r="B4" s="108">
        <v>0.56000000000000005</v>
      </c>
      <c r="C4" s="108">
        <v>13.5</v>
      </c>
      <c r="D4" s="107">
        <f>(45.7*B4^0.5)/(21.4+B4^0.5)</f>
        <v>1.5440778710612941</v>
      </c>
      <c r="E4" s="107">
        <f>(C4-D4)/2</f>
        <v>5.977961064469353</v>
      </c>
      <c r="F4" s="108">
        <f>E4*2</f>
        <v>11.955922128938706</v>
      </c>
      <c r="G4" s="109" t="s">
        <v>90</v>
      </c>
      <c r="J4" t="s">
        <v>96</v>
      </c>
      <c r="K4" t="s">
        <v>98</v>
      </c>
    </row>
    <row r="5" spans="1:11" ht="15.75" x14ac:dyDescent="0.25">
      <c r="A5" s="109" t="s">
        <v>39</v>
      </c>
      <c r="B5" s="108">
        <v>0.52800000000000002</v>
      </c>
      <c r="C5" s="108">
        <v>51</v>
      </c>
      <c r="D5" s="107">
        <f>(45.7*B5^0.5)/(21.4+B5^0.5)</f>
        <v>1.5007825390267051</v>
      </c>
      <c r="E5" s="107">
        <f>(C5-D5)/2</f>
        <v>24.749608730486649</v>
      </c>
      <c r="F5" s="108">
        <f>E5*2</f>
        <v>49.499217460973298</v>
      </c>
      <c r="G5" s="109">
        <v>15.44</v>
      </c>
      <c r="J5" t="s">
        <v>97</v>
      </c>
      <c r="K5" t="s">
        <v>99</v>
      </c>
    </row>
    <row r="6" spans="1:11" ht="15.75" x14ac:dyDescent="0.25">
      <c r="A6" s="109" t="s">
        <v>53</v>
      </c>
      <c r="G6">
        <v>12.59</v>
      </c>
      <c r="J6" s="115" t="s">
        <v>88</v>
      </c>
      <c r="K6" t="s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notes</vt:lpstr>
      <vt:lpstr>calcul_mouillage_thermie</vt:lpstr>
      <vt:lpstr>hypolimnion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Delphine.Rebiere</dc:creator>
  <cp:lastModifiedBy>Peroux Tiphaine</cp:lastModifiedBy>
  <cp:lastPrinted>2015-09-21T12:42:01Z</cp:lastPrinted>
  <dcterms:created xsi:type="dcterms:W3CDTF">2013-08-20T09:30:13Z</dcterms:created>
  <dcterms:modified xsi:type="dcterms:W3CDTF">2019-01-23T15:49:14Z</dcterms:modified>
</cp:coreProperties>
</file>